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omments5.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6.xml" ContentType="application/vnd.openxmlformats-officedocument.drawing+xml"/>
  <Override PartName="/xl/comments6.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ndrea Quintiliani\Desktop\Finanza Aziendale_DEC_AA25_26\D_Simulazioni\"/>
    </mc:Choice>
  </mc:AlternateContent>
  <xr:revisionPtr revIDLastSave="0" documentId="13_ncr:1_{1E00F997-A863-48A9-A44D-6213D25B1A52}" xr6:coauthVersionLast="47" xr6:coauthVersionMax="47" xr10:uidLastSave="{00000000-0000-0000-0000-000000000000}"/>
  <bookViews>
    <workbookView xWindow="-113" yWindow="-113" windowWidth="24267" windowHeight="13023" tabRatio="930" xr2:uid="{00000000-000D-0000-FFFF-FFFF00000000}"/>
  </bookViews>
  <sheets>
    <sheet name="Welcome" sheetId="22" r:id="rId1"/>
    <sheet name="Menu" sheetId="24" r:id="rId2"/>
    <sheet name="PRESENTAZIONE" sheetId="23" r:id="rId3"/>
    <sheet name="Bilancio d'Esercizio" sheetId="15" r:id="rId4"/>
    <sheet name="C.E. Riclassificato" sheetId="7" r:id="rId5"/>
    <sheet name="Risultato Industriale" sheetId="6" r:id="rId6"/>
    <sheet name="Struttura Ricavi" sheetId="1" r:id="rId7"/>
    <sheet name="Scheda Ricavi" sheetId="2" r:id="rId8"/>
    <sheet name="Personale Diretto" sheetId="3" r:id="rId9"/>
    <sheet name="Costi diretti" sheetId="13" r:id="rId10"/>
    <sheet name="Struttura Costi AZ. A" sheetId="5" r:id="rId11"/>
    <sheet name="Struttura Costi AZ. B" sheetId="16" r:id="rId12"/>
    <sheet name="BreakEven Point AZ. A" sheetId="11" r:id="rId13"/>
    <sheet name="BreakEven Point AZ. A_Prodotti" sheetId="19" r:id="rId14"/>
    <sheet name="BreakEven Point AZ. B" sheetId="17" r:id="rId15"/>
    <sheet name="BreakEven Point AZ. B_Prodotti" sheetId="20" r:id="rId16"/>
    <sheet name="SINTESI DELLA SIMULAZIONE" sheetId="18" r:id="rId17"/>
    <sheet name="INPUT" sheetId="21" r:id="rId18"/>
    <sheet name="Legenda" sheetId="25" r:id="rId19"/>
  </sheets>
  <externalReferences>
    <externalReference r:id="rId20"/>
    <externalReference r:id="rId21"/>
    <externalReference r:id="rId22"/>
    <externalReference r:id="rId23"/>
  </externalReferences>
  <definedNames>
    <definedName name="_1_0GESTI">#REF!</definedName>
    <definedName name="_2_0FIX">#REF!</definedName>
    <definedName name="_3_0EST">#REF!</definedName>
    <definedName name="_COM1">[1]MKT.XLS!$B$39</definedName>
    <definedName name="_COM2">[1]MKT.XLS!$C$39</definedName>
    <definedName name="_COM3">[1]MKT.XLS!$D$39</definedName>
    <definedName name="_COM4">[1]MKT.XLS!$E$39</definedName>
    <definedName name="_COM5">[1]MKT.XLS!$F$39</definedName>
    <definedName name="_EXP1">[1]PROD.XLS!$B$23</definedName>
    <definedName name="_EXP2">[1]PROD.XLS!$C$23</definedName>
    <definedName name="_EXP3">[1]PROD.XLS!$D$23</definedName>
    <definedName name="_EXP4">[1]PROD.XLS!$E$23</definedName>
    <definedName name="_EXP5">[1]PROD.XLS!$F$23</definedName>
    <definedName name="_G100000">#REF!</definedName>
    <definedName name="_INV1">[1]INV.XLS!$B$41</definedName>
    <definedName name="_INV2">[1]INV.XLS!$C$41</definedName>
    <definedName name="_INV3">[1]INV.XLS!$D$41</definedName>
    <definedName name="_INV4">[1]INV.XLS!$E$41</definedName>
    <definedName name="_INV5">[1]INV.XLS!$F$41</definedName>
    <definedName name="_JUN1">[1]PROD.XLS!$B$24</definedName>
    <definedName name="_JUN2">[1]PROD.XLS!$C$24</definedName>
    <definedName name="_JUN3">[1]PROD.XLS!$D$24</definedName>
    <definedName name="_JUN4">[1]PROD.XLS!$E$24</definedName>
    <definedName name="_JUN5">[1]PROD.XLS!$F$24</definedName>
    <definedName name="_SEN1">[1]PROD.XLS!$B$22</definedName>
    <definedName name="_SEN2">[1]PROD.XLS!$C$22</definedName>
    <definedName name="_SEN3">[1]PROD.XLS!$D$22</definedName>
    <definedName name="_SEN4">[1]PROD.XLS!$E$22</definedName>
    <definedName name="_SEN5">[1]PROD.XLS!$F$22</definedName>
    <definedName name="ac">#REF!</definedName>
    <definedName name="ACII">[2]CEBI!$H$39</definedName>
    <definedName name="ACIII">[2]CEBI!$J$39</definedName>
    <definedName name="ACQ_MATCNS1">[1]PROD.XLS!$B$15</definedName>
    <definedName name="ACQ_MATCNS2">[1]PROD.XLS!$C$15</definedName>
    <definedName name="ACQ_MATCNS3">[1]PROD.XLS!$D$15</definedName>
    <definedName name="ACQ_MATCNS4">[1]PROD.XLS!$E$15</definedName>
    <definedName name="ACQ_MATCNS5">[1]PROD.XLS!$F$15</definedName>
    <definedName name="AI">#REF!</definedName>
    <definedName name="AIII">[2]CEBI!$H$18</definedName>
    <definedName name="AIIII">[2]CEBI!$J$18</definedName>
    <definedName name="AMM_MKT1">[1]INV.XLS!$B$79</definedName>
    <definedName name="AMM_MKT2">[1]INV.XLS!$C$79</definedName>
    <definedName name="AMM_MKT3">[1]INV.XLS!$D$79</definedName>
    <definedName name="AMM_MKT4">[1]INV.XLS!$E$79</definedName>
    <definedName name="AMM_MKT5">[1]INV.XLS!$F$79</definedName>
    <definedName name="AMM_PROD1">[1]INV.XLS!$B$86</definedName>
    <definedName name="AMM_PROD2">[1]INV.XLS!$C$86</definedName>
    <definedName name="AMM_PROD3">[1]INV.XLS!$D$86</definedName>
    <definedName name="AMM_PROD4">[1]INV.XLS!$E$86</definedName>
    <definedName name="AMM_PROD5">[1]INV.XLS!$F$86</definedName>
    <definedName name="AMM_STRUTT1">[1]INV.XLS!$B$93</definedName>
    <definedName name="AMM_STRUTT2">[1]INV.XLS!$C$93</definedName>
    <definedName name="AMM_STRUTT3">[1]INV.XLS!$D$93</definedName>
    <definedName name="AMM_STRUTT4">[1]INV.XLS!$E$93</definedName>
    <definedName name="AMM_STRUTT5">[1]INV.XLS!$F$93</definedName>
    <definedName name="_xlnm.Print_Area" localSheetId="12">'BreakEven Point AZ. A'!$A$1:$S$53</definedName>
    <definedName name="_xlnm.Print_Area" localSheetId="13">'BreakEven Point AZ. A_Prodotti'!$A$1:$S$53</definedName>
    <definedName name="_xlnm.Print_Area" localSheetId="14">'BreakEven Point AZ. B'!$A$1:$S$42</definedName>
    <definedName name="_xlnm.Print_Area" localSheetId="15">'BreakEven Point AZ. B_Prodotti'!$A$1:$S$53</definedName>
    <definedName name="_xlnm.Print_Area" localSheetId="4">'C.E. Riclassificato'!$A$1:$B$49</definedName>
    <definedName name="_xlnm.Print_Area" localSheetId="9">'Costi diretti'!#REF!</definedName>
    <definedName name="_xlnm.Print_Area" localSheetId="8">'Personale Diretto'!#REF!</definedName>
    <definedName name="_xlnm.Print_Area" localSheetId="5">'Risultato Industriale'!$A$1:$G$6</definedName>
    <definedName name="_xlnm.Print_Area" localSheetId="7">'Scheda Ricavi'!$A$1:$B$12</definedName>
    <definedName name="_xlnm.Print_Area" localSheetId="10">'Struttura Costi AZ. A'!$A$1:$N$30</definedName>
    <definedName name="_xlnm.Print_Area" localSheetId="11">'Struttura Costi AZ. B'!$A$1:$N$30</definedName>
    <definedName name="_xlnm.Print_Area" localSheetId="6">'Struttura Ricavi'!$A$1:$B$29</definedName>
    <definedName name="AS2DocOpenMode" hidden="1">"AS2DocumentEdit"</definedName>
    <definedName name="BIGLIETTERIA">'Struttura Ricavi'!$A$4:$B$13</definedName>
    <definedName name="busiplan">[1]P_ECOFIN.XLS!$A$1:$F$299</definedName>
    <definedName name="cashflow">[1]P_ECOFIN.XLS!$A$356:$G$396</definedName>
    <definedName name="CCES">[2]CEBI!$F$25</definedName>
    <definedName name="CCESII">[2]CEBI!$H$25</definedName>
    <definedName name="CCESIII">[2]CEBI!$J$25</definedName>
    <definedName name="CDES">[2]CEBI!$F$29</definedName>
    <definedName name="CDESII">[2]CEBI!$H$29</definedName>
    <definedName name="CDESIII">[2]CEBI!$J$29</definedName>
    <definedName name="CFES">[2]CEBI!$F$27</definedName>
    <definedName name="CFESII">[2]CEBI!$H$27</definedName>
    <definedName name="CFESIII">[2]CEBI!$J$27</definedName>
    <definedName name="CL_MKT1">[1]PERS.XLS!$B$83</definedName>
    <definedName name="CL_MKT2">[1]PERS.XLS!$C$83</definedName>
    <definedName name="CL_MKT3">[1]PERS.XLS!$D$83</definedName>
    <definedName name="CL_MKT4">[1]PERS.XLS!$E$83</definedName>
    <definedName name="CL_MKT5">[1]PERS.XLS!$F$83</definedName>
    <definedName name="CL_PROD1">[1]PERS.XLS!$B$92</definedName>
    <definedName name="CL_PROD2">[1]PERS.XLS!$C$92</definedName>
    <definedName name="CL_PROD3">[1]PERS.XLS!$D$92</definedName>
    <definedName name="CL_PROD4">[1]PERS.XLS!$E$92</definedName>
    <definedName name="CL_PROD5">[1]PERS.XLS!$F$92</definedName>
    <definedName name="CL_STRUTT1">[1]PERS.XLS!$B$98</definedName>
    <definedName name="CL_STRUTT2">[1]PERS.XLS!$C$98</definedName>
    <definedName name="CL_STRUTT3">[1]PERS.XLS!$D$98</definedName>
    <definedName name="CL_STRUTT4">[1]PERS.XLS!$E$98</definedName>
    <definedName name="CL_STRUTT5">[1]PERS.XLS!$F$98</definedName>
    <definedName name="CN">[2]CEBI!$F$62</definedName>
    <definedName name="CNII">[2]CEBI!$H$62</definedName>
    <definedName name="CNIII">[2]CEBI!$J$62</definedName>
    <definedName name="CONTIperc">[1]P_ECOFIN.XLS!$A$397:$F$503</definedName>
    <definedName name="COST_PSW1">[1]PROD.XLS!#REF!</definedName>
    <definedName name="COST_PSW2">[1]PROD.XLS!#REF!</definedName>
    <definedName name="COST_PSW3">[1]PROD.XLS!#REF!</definedName>
    <definedName name="COST_PSW4">[1]PROD.XLS!#REF!</definedName>
    <definedName name="COST_PSW5">[1]PROD.XLS!#REF!</definedName>
    <definedName name="CP">[2]CEBI!$F$75</definedName>
    <definedName name="CPII">[2]CEBI!$H$75</definedName>
    <definedName name="CPIII">[2]CEBI!$J$75</definedName>
    <definedName name="DC">#REF!</definedName>
    <definedName name="Debiti_v_banche">[1]P_ECOFIN.XLS!$B$130</definedName>
    <definedName name="Debvb2">[1]P_ECOFIN.XLS!$C$130</definedName>
    <definedName name="Debvb3">[1]P_ECOFIN.XLS!$D$130</definedName>
    <definedName name="Debvb4">[1]P_ECOFIN.XLS!$E$130</definedName>
    <definedName name="Debvb5">[1]P_ECOFIN.XLS!$F$130</definedName>
    <definedName name="DEFI">'[2]S.P. di Pertinenza'!$C$91</definedName>
    <definedName name="DEFII">'[2]S.P. di Pertinenza'!$D$91</definedName>
    <definedName name="DEFIII">'[2]S.P. di Pertinenza'!$E$91</definedName>
    <definedName name="DIST1">[1]MKT.XLS!$B$38</definedName>
    <definedName name="DIST2">[1]MKT.XLS!$C$38</definedName>
    <definedName name="DIST3">[1]MKT.XLS!$D$38</definedName>
    <definedName name="DIST4">[1]MKT.XLS!$E$38</definedName>
    <definedName name="DIST5">[1]MKT.XLS!$F$38</definedName>
    <definedName name="e">'[3]SP Cob'!$R$1</definedName>
    <definedName name="ee" localSheetId="1" hidden="1">{#N/A,#N/A,FALSE,"Aging Summary";#N/A,#N/A,FALSE,"Ratio Analysis";#N/A,#N/A,FALSE,"Test 120 Day Accts";#N/A,#N/A,FALSE,"Tickmarks"}</definedName>
    <definedName name="ee" localSheetId="2" hidden="1">{#N/A,#N/A,FALSE,"Aging Summary";#N/A,#N/A,FALSE,"Ratio Analysis";#N/A,#N/A,FALSE,"Test 120 Day Accts";#N/A,#N/A,FALSE,"Tickmarks"}</definedName>
    <definedName name="ee" localSheetId="0" hidden="1">{#N/A,#N/A,FALSE,"Aging Summary";#N/A,#N/A,FALSE,"Ratio Analysis";#N/A,#N/A,FALSE,"Test 120 Day Accts";#N/A,#N/A,FALSE,"Tickmarks"}</definedName>
    <definedName name="ee" hidden="1">{#N/A,#N/A,FALSE,"Aging Summary";#N/A,#N/A,FALSE,"Ratio Analysis";#N/A,#N/A,FALSE,"Test 120 Day Accts";#N/A,#N/A,FALSE,"Tickmarks"}</definedName>
    <definedName name="FATT">'[2]Conto Economico CEBI'!$C$5</definedName>
    <definedName name="FATT1">[1]MKT.XLS!$B$117</definedName>
    <definedName name="FATT2">[1]MKT.XLS!$C$117</definedName>
    <definedName name="FATT3">[1]MKT.XLS!$D$117</definedName>
    <definedName name="FATT4">[1]MKT.XLS!$E$117</definedName>
    <definedName name="FATT5">[1]MKT.XLS!$F$117</definedName>
    <definedName name="FATTII">'[2]Conto Economico CEBI'!$D$5</definedName>
    <definedName name="FATTIII">'[2]Conto Economico CEBI'!$E$5</definedName>
    <definedName name="FND_AMM1">[1]INV.XLS!$B$101</definedName>
    <definedName name="FND_AMM2">[1]INV.XLS!$C$101</definedName>
    <definedName name="FND_AMM3">[1]INV.XLS!$D$101</definedName>
    <definedName name="FND_AMM4">[1]INV.XLS!$E$101</definedName>
    <definedName name="FND_AMM5">[1]INV.XLS!$F$101</definedName>
    <definedName name="FND_TFR1">[1]PERS.XLS!$B$119</definedName>
    <definedName name="FND_TFR2">[1]PERS.XLS!$C$119</definedName>
    <definedName name="FND_TFR3">[1]PERS.XLS!$D$119</definedName>
    <definedName name="FND_TFR4">[1]PERS.XLS!$E$119</definedName>
    <definedName name="FND_TFR5">[1]PERS.XLS!$F$119</definedName>
    <definedName name="GG_EXP1">[1]MKT.XLS!#REF!</definedName>
    <definedName name="GG_EXP2">[1]MKT.XLS!#REF!</definedName>
    <definedName name="GG_EXP3">[1]MKT.XLS!#REF!</definedName>
    <definedName name="GG_EXP4">[1]MKT.XLS!#REF!</definedName>
    <definedName name="GG_EXP5">[1]MKT.XLS!#REF!</definedName>
    <definedName name="GG_FORN_PSW1">[1]PROD.XLS!#REF!</definedName>
    <definedName name="GG_FORN_PSW2">[1]PROD.XLS!#REF!</definedName>
    <definedName name="GG_FORN_PSW3">[1]PROD.XLS!#REF!</definedName>
    <definedName name="GG_FORN_PSW4">[1]PROD.XLS!#REF!</definedName>
    <definedName name="GG_FORN_PSW5">[1]PROD.XLS!#REF!</definedName>
    <definedName name="GG_JUN1">[1]MKT.XLS!#REF!</definedName>
    <definedName name="GG_JUN2">[1]MKT.XLS!#REF!</definedName>
    <definedName name="GG_JUN3">[1]MKT.XLS!#REF!</definedName>
    <definedName name="GG_JUN4">[1]MKT.XLS!#REF!</definedName>
    <definedName name="GG_JUN5">[1]MKT.XLS!#REF!</definedName>
    <definedName name="GG_SEN1">[1]MKT.XLS!#REF!</definedName>
    <definedName name="GG_SEN2">[1]MKT.XLS!#REF!</definedName>
    <definedName name="GG_SEN3">[1]MKT.XLS!#REF!</definedName>
    <definedName name="GG_SEN4">[1]MKT.XLS!#REF!</definedName>
    <definedName name="GG_SEN5">[1]MKT.XLS!#REF!</definedName>
    <definedName name="IM">[2]CEBI!$F$9</definedName>
    <definedName name="IMBL_IMT1">[1]INV.XLS!$B$143</definedName>
    <definedName name="IMBL_IMT2">[1]INV.XLS!$C$143</definedName>
    <definedName name="IMBL_IMT3">[1]INV.XLS!$D$143</definedName>
    <definedName name="IMBL_IMT4">[1]INV.XLS!$E$143</definedName>
    <definedName name="IMBL_IMT5">[1]INV.XLS!$F$143</definedName>
    <definedName name="IMCA">[2]CEBI!$F$11</definedName>
    <definedName name="IMCAII">[2]CEBI!$H$11</definedName>
    <definedName name="IMCAIII">[2]CEBI!$J$11</definedName>
    <definedName name="IMII">[2]CEBI!$H$9</definedName>
    <definedName name="IMIII">[2]CEBI!$J$9</definedName>
    <definedName name="Imposte">[1]P_ECOFIN.XLS!$A$300:$G$332</definedName>
    <definedName name="indici">[1]P_ECOFIN.XLS!$A$333:$F$355</definedName>
    <definedName name="L">[2]CEBI!$F$37</definedName>
    <definedName name="LCSPF">[2]CEBI!$E$22</definedName>
    <definedName name="LCSPFII">[2]CEBI!$G$22</definedName>
    <definedName name="LCSPFIII">[2]CEBI!$I$22</definedName>
    <definedName name="LII">[2]CEBI!$H$37</definedName>
    <definedName name="LIII">[2]CEBI!$J$37</definedName>
    <definedName name="Margine_di_contibuzione">[4]BEP!$E$5</definedName>
    <definedName name="MPS">[2]CEBI!$E$21</definedName>
    <definedName name="MPSII">[2]CEBI!$G$21</definedName>
    <definedName name="MPSIII">[2]CEBI!$I$21</definedName>
    <definedName name="Mutui1">[1]P_ECOFIN.XLS!$B$133</definedName>
    <definedName name="Mutui2">[1]P_ECOFIN.XLS!$C$133</definedName>
    <definedName name="Mutui3">[1]P_ECOFIN.XLS!$D$133</definedName>
    <definedName name="Mutui4">[1]P_ECOFIN.XLS!$E$133</definedName>
    <definedName name="Mutui5">[1]P_ECOFIN.XLS!$F$133</definedName>
    <definedName name="OF">'[2]Conto Economico CEBI'!$C$47</definedName>
    <definedName name="OFII">'[2]Conto Economico CEBI'!$D$47</definedName>
    <definedName name="OFIII">'[2]Conto Economico CEBI'!$E$47</definedName>
    <definedName name="PACCH1">[1]MKT.XLS!$B$115</definedName>
    <definedName name="PACCH2">[1]MKT.XLS!$C$115</definedName>
    <definedName name="PACCH3">[1]MKT.XLS!$D$115</definedName>
    <definedName name="PACCH4">[1]MKT.XLS!$E$115</definedName>
    <definedName name="PACCH5">[1]MKT.XLS!$F$115</definedName>
    <definedName name="Pacchetto1">'Struttura Ricavi'!$A$19:$B$22</definedName>
    <definedName name="Pacchetto2">'Struttura Ricavi'!$A$24:$B$27</definedName>
    <definedName name="Pacchetto3">'Struttura Ricavi'!#REF!</definedName>
    <definedName name="Pacchetto4">'Struttura Ricavi'!#REF!</definedName>
    <definedName name="PC">[2]CEBI!$F$95</definedName>
    <definedName name="PCF">#REF!</definedName>
    <definedName name="PCII">[2]CEBI!$H$95</definedName>
    <definedName name="PCIII">[2]CEBI!$J$95</definedName>
    <definedName name="Prodotto1">'Struttura Ricavi'!#REF!</definedName>
    <definedName name="Prodotto2">'Struttura Ricavi'!#REF!</definedName>
    <definedName name="Prodotto3">'Struttura Ricavi'!#REF!</definedName>
    <definedName name="Prodotto4">'Struttura Ricavi'!#REF!</definedName>
    <definedName name="red" localSheetId="1" hidden="1">{#N/A,#N/A,FALSE,"Aging Summary";#N/A,#N/A,FALSE,"Ratio Analysis";#N/A,#N/A,FALSE,"Test 120 Day Accts";#N/A,#N/A,FALSE,"Tickmarks"}</definedName>
    <definedName name="red" localSheetId="2" hidden="1">{#N/A,#N/A,FALSE,"Aging Summary";#N/A,#N/A,FALSE,"Ratio Analysis";#N/A,#N/A,FALSE,"Test 120 Day Accts";#N/A,#N/A,FALSE,"Tickmarks"}</definedName>
    <definedName name="red" localSheetId="0" hidden="1">{#N/A,#N/A,FALSE,"Aging Summary";#N/A,#N/A,FALSE,"Ratio Analysis";#N/A,#N/A,FALSE,"Test 120 Day Accts";#N/A,#N/A,FALSE,"Tickmarks"}</definedName>
    <definedName name="red" hidden="1">{#N/A,#N/A,FALSE,"Aging Summary";#N/A,#N/A,FALSE,"Ratio Analysis";#N/A,#N/A,FALSE,"Test 120 Day Accts";#N/A,#N/A,FALSE,"Tickmarks"}</definedName>
    <definedName name="Saldo_Iva1">[1]LEASING.XLS!$B$44</definedName>
    <definedName name="Saldo_Iva2">[1]LEASING.XLS!$C$44</definedName>
    <definedName name="Saldo_Iva3">[1]LEASING.XLS!$D$44</definedName>
    <definedName name="Saldo_Iva4">[1]LEASING.XLS!$E$44</definedName>
    <definedName name="Saldo_Iva5">[1]LEASING.XLS!$F$44</definedName>
    <definedName name="TA">#REF!</definedName>
    <definedName name="TAA">[2]CEBI!$F$33</definedName>
    <definedName name="TAAII">[2]CEBI!$H$33</definedName>
    <definedName name="TAAIII">[2]CEBI!$J$33</definedName>
    <definedName name="Tab_reddito">[4]BEP!$B$15:$B$35</definedName>
    <definedName name="Tab_spese_fisse">[4]BEP!$C$15:$C$35</definedName>
    <definedName name="Tab_spese_variabili">[4]BEP!$D$15:$D$35</definedName>
    <definedName name="Tab_totale">[4]BEP!$E$15:$E$35</definedName>
    <definedName name="TAII">#REF!</definedName>
    <definedName name="TAIII">#REF!</definedName>
    <definedName name="TextRefCopyRangeCount" hidden="1">1</definedName>
    <definedName name="TOUR_ORGANIZER">'Struttura Ricavi'!#REF!</definedName>
    <definedName name="TPN">#REF!</definedName>
    <definedName name="TPNII">#REF!</definedName>
    <definedName name="TPNIII">#REF!</definedName>
    <definedName name="VEND1">[1]MKT.XLS!$B$37</definedName>
    <definedName name="VEND2">[1]MKT.XLS!$C$37</definedName>
    <definedName name="VEND3">[1]MKT.XLS!$D$37</definedName>
    <definedName name="VEND4">[1]MKT.XLS!$E$37</definedName>
    <definedName name="VEND5">[1]MKT.XLS!$F$37</definedName>
    <definedName name="viaggi_aerei">'Struttura Ricavi'!$A$5:$B$8</definedName>
    <definedName name="VIAGGI_DA_CATALOGO">'Struttura Ricavi'!$A$17:$B$27</definedName>
    <definedName name="Viaggi_ferroviari">'Struttura Ricavi'!$A$10:$B$13</definedName>
    <definedName name="Viaggi_nave">'Struttura Ricavi'!#REF!</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 localSheetId="1" hidden="1">{#N/A,#N/A,FALSE,"Aging Summary";#N/A,#N/A,FALSE,"Ratio Analysis";#N/A,#N/A,FALSE,"Test 120 Day Accts";#N/A,#N/A,FALSE,"Tickmarks"}</definedName>
    <definedName name="x" localSheetId="2" hidden="1">{#N/A,#N/A,FALSE,"Aging Summary";#N/A,#N/A,FALSE,"Ratio Analysis";#N/A,#N/A,FALSE,"Test 120 Day Accts";#N/A,#N/A,FALSE,"Tickmarks"}</definedName>
    <definedName name="x" localSheetId="0" hidden="1">{#N/A,#N/A,FALSE,"Aging Summary";#N/A,#N/A,FALSE,"Ratio Analysis";#N/A,#N/A,FALSE,"Test 120 Day Accts";#N/A,#N/A,FALSE,"Tickmarks"}</definedName>
    <definedName name="x" hidden="1">{#N/A,#N/A,FALSE,"Aging Summary";#N/A,#N/A,FALSE,"Ratio Analysis";#N/A,#N/A,FALSE,"Test 120 Day Accts";#N/A,#N/A,FALSE,"Tickmarks"}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21" l="1"/>
  <c r="B15" i="13"/>
  <c r="B45" i="3"/>
  <c r="B32" i="3"/>
  <c r="B33" i="3" s="1"/>
  <c r="B34" i="3" s="1"/>
  <c r="B19" i="3"/>
  <c r="B24" i="3" s="1"/>
  <c r="B59" i="1"/>
  <c r="B58" i="1"/>
  <c r="F29" i="18" s="1"/>
  <c r="B55" i="1"/>
  <c r="B54" i="1"/>
  <c r="F60" i="18" s="1"/>
  <c r="B50" i="1"/>
  <c r="B49" i="1"/>
  <c r="A12" i="11"/>
  <c r="B26" i="7"/>
  <c r="B23" i="5" s="1"/>
  <c r="A67" i="7"/>
  <c r="A12" i="7"/>
  <c r="B19" i="1"/>
  <c r="B24" i="1"/>
  <c r="P60" i="18" s="1"/>
  <c r="D63" i="5"/>
  <c r="D54" i="19"/>
  <c r="B28" i="1"/>
  <c r="P29" i="18" s="1"/>
  <c r="B29" i="1"/>
  <c r="B25" i="13"/>
  <c r="B4" i="13"/>
  <c r="B5" i="13"/>
  <c r="B6" i="13"/>
  <c r="B7" i="13"/>
  <c r="B8" i="13"/>
  <c r="B9" i="13"/>
  <c r="B10" i="13"/>
  <c r="B11" i="13"/>
  <c r="B12" i="13"/>
  <c r="B27" i="13"/>
  <c r="B28" i="13"/>
  <c r="B32" i="13"/>
  <c r="B33" i="13"/>
  <c r="P49" i="18" s="1"/>
  <c r="B37" i="13"/>
  <c r="P19" i="18"/>
  <c r="B38" i="13"/>
  <c r="B42" i="13"/>
  <c r="B43" i="13"/>
  <c r="B47" i="13"/>
  <c r="B48" i="13"/>
  <c r="P58" i="18" s="1"/>
  <c r="B13" i="13"/>
  <c r="B14" i="13"/>
  <c r="B17" i="3"/>
  <c r="B16" i="3"/>
  <c r="D67" i="5"/>
  <c r="D60" i="19"/>
  <c r="B9" i="5"/>
  <c r="B13" i="7"/>
  <c r="B10" i="5" s="1"/>
  <c r="B14" i="7"/>
  <c r="B11" i="5"/>
  <c r="B69" i="5" s="1"/>
  <c r="B15" i="7"/>
  <c r="B12" i="5" s="1"/>
  <c r="B16" i="7"/>
  <c r="B13" i="5" s="1"/>
  <c r="B17" i="7"/>
  <c r="B14" i="5" s="1"/>
  <c r="B18" i="7"/>
  <c r="B15" i="5" s="1"/>
  <c r="B19" i="7"/>
  <c r="B16" i="5" s="1"/>
  <c r="B20" i="7"/>
  <c r="B17" i="5" s="1"/>
  <c r="B21" i="7"/>
  <c r="B18" i="5" s="1"/>
  <c r="B22" i="7"/>
  <c r="B19" i="5"/>
  <c r="B77" i="5" s="1"/>
  <c r="B23" i="7"/>
  <c r="B20" i="5" s="1"/>
  <c r="B24" i="7"/>
  <c r="B21" i="5" s="1"/>
  <c r="B25" i="7"/>
  <c r="B22" i="5" s="1"/>
  <c r="B27" i="7"/>
  <c r="B24" i="5" s="1"/>
  <c r="B28" i="7"/>
  <c r="B25" i="5" s="1"/>
  <c r="C27" i="11" s="1"/>
  <c r="B17" i="15"/>
  <c r="B26" i="5"/>
  <c r="B84" i="5" s="1"/>
  <c r="B27" i="5"/>
  <c r="B85" i="5" s="1"/>
  <c r="B28" i="5"/>
  <c r="C30" i="11" s="1"/>
  <c r="B5" i="1"/>
  <c r="F34" i="13" s="1"/>
  <c r="N15" i="18" s="1"/>
  <c r="B14" i="1"/>
  <c r="N29" i="18" s="1"/>
  <c r="B10" i="1"/>
  <c r="B12" i="1" s="1"/>
  <c r="B5" i="2" s="1"/>
  <c r="N66" i="18" s="1"/>
  <c r="B15" i="1"/>
  <c r="F25" i="13"/>
  <c r="F4" i="13"/>
  <c r="F5" i="13"/>
  <c r="F6" i="13"/>
  <c r="F7" i="13"/>
  <c r="F8" i="13"/>
  <c r="F9" i="13"/>
  <c r="F10" i="13"/>
  <c r="F11" i="13"/>
  <c r="F12" i="13"/>
  <c r="F13" i="13"/>
  <c r="F14" i="13"/>
  <c r="F15" i="13"/>
  <c r="F27" i="13"/>
  <c r="F28" i="13"/>
  <c r="F32" i="13"/>
  <c r="N16" i="18" s="1"/>
  <c r="F33" i="13"/>
  <c r="N49" i="18" s="1"/>
  <c r="F37" i="13"/>
  <c r="N19" i="18" s="1"/>
  <c r="F38" i="13"/>
  <c r="F42" i="13"/>
  <c r="F43" i="13"/>
  <c r="N55" i="18" s="1"/>
  <c r="F47" i="13"/>
  <c r="F48" i="13"/>
  <c r="N58" i="18" s="1"/>
  <c r="B4" i="3"/>
  <c r="B3" i="3"/>
  <c r="D68" i="5"/>
  <c r="D12" i="19" s="1"/>
  <c r="D69" i="5"/>
  <c r="D62" i="19"/>
  <c r="D70" i="5"/>
  <c r="D71" i="5"/>
  <c r="D64" i="19"/>
  <c r="D72" i="5"/>
  <c r="D65" i="19" s="1"/>
  <c r="D73" i="5"/>
  <c r="D74" i="5"/>
  <c r="D18" i="19" s="1"/>
  <c r="D67" i="19"/>
  <c r="D75" i="5"/>
  <c r="D19" i="19" s="1"/>
  <c r="D76" i="5"/>
  <c r="D77" i="5"/>
  <c r="D70" i="19" s="1"/>
  <c r="D78" i="5"/>
  <c r="D71" i="19" s="1"/>
  <c r="D79" i="5"/>
  <c r="D23" i="19" s="1"/>
  <c r="D80" i="5"/>
  <c r="D24" i="19" s="1"/>
  <c r="D73" i="19"/>
  <c r="D81" i="5"/>
  <c r="D74" i="19" s="1"/>
  <c r="D82" i="5"/>
  <c r="D83" i="5"/>
  <c r="D76" i="19" s="1"/>
  <c r="D84" i="5"/>
  <c r="D77" i="19" s="1"/>
  <c r="D85" i="5"/>
  <c r="D86" i="5"/>
  <c r="D30" i="19" s="1"/>
  <c r="D79" i="19"/>
  <c r="B20" i="1"/>
  <c r="B21" i="1"/>
  <c r="B8" i="2" s="1"/>
  <c r="B25" i="1"/>
  <c r="P64" i="18" s="1"/>
  <c r="F63" i="5"/>
  <c r="F6" i="11" s="1"/>
  <c r="F67" i="5"/>
  <c r="F60" i="19" s="1"/>
  <c r="F68" i="5"/>
  <c r="F61" i="19"/>
  <c r="F69" i="5"/>
  <c r="F62" i="19"/>
  <c r="F70" i="5"/>
  <c r="F14" i="11" s="1"/>
  <c r="F71" i="5"/>
  <c r="F15" i="19" s="1"/>
  <c r="F72" i="5"/>
  <c r="F65" i="19"/>
  <c r="F73" i="5"/>
  <c r="F17" i="11"/>
  <c r="F74" i="5"/>
  <c r="F67" i="19" s="1"/>
  <c r="F75" i="5"/>
  <c r="F19" i="19" s="1"/>
  <c r="F76" i="5"/>
  <c r="F20" i="11"/>
  <c r="F69" i="19"/>
  <c r="F77" i="5"/>
  <c r="F70" i="19"/>
  <c r="F78" i="5"/>
  <c r="F71" i="19" s="1"/>
  <c r="F79" i="5"/>
  <c r="F72" i="19"/>
  <c r="F80" i="5"/>
  <c r="F24" i="19" s="1"/>
  <c r="F81" i="5"/>
  <c r="F74" i="19" s="1"/>
  <c r="F82" i="5"/>
  <c r="F83" i="5"/>
  <c r="F76" i="19" s="1"/>
  <c r="F84" i="5"/>
  <c r="F77" i="19"/>
  <c r="F85" i="5"/>
  <c r="F29" i="19" s="1"/>
  <c r="F29" i="11"/>
  <c r="F78" i="19"/>
  <c r="F86" i="5"/>
  <c r="F79" i="19" s="1"/>
  <c r="D62" i="5"/>
  <c r="D5" i="11" s="1"/>
  <c r="D13" i="19"/>
  <c r="D15" i="19"/>
  <c r="D22" i="19"/>
  <c r="D26" i="19"/>
  <c r="B6" i="1"/>
  <c r="B11" i="1"/>
  <c r="N64" i="18" s="1"/>
  <c r="F62" i="5"/>
  <c r="F5" i="19"/>
  <c r="F13" i="19"/>
  <c r="D61" i="16"/>
  <c r="D54" i="20" s="1"/>
  <c r="B76" i="13"/>
  <c r="F8" i="18" s="1"/>
  <c r="B55" i="13"/>
  <c r="B56" i="13"/>
  <c r="B57" i="13"/>
  <c r="B58" i="13"/>
  <c r="B59" i="13"/>
  <c r="B60" i="13"/>
  <c r="B61" i="13"/>
  <c r="B62" i="13"/>
  <c r="B63" i="13"/>
  <c r="B78" i="13"/>
  <c r="F13" i="18" s="1"/>
  <c r="B79" i="13"/>
  <c r="F46" i="18" s="1"/>
  <c r="B83" i="13"/>
  <c r="B84" i="13"/>
  <c r="F49" i="18" s="1"/>
  <c r="B88" i="13"/>
  <c r="F19" i="18" s="1"/>
  <c r="B89" i="13"/>
  <c r="F52" i="18" s="1"/>
  <c r="B93" i="13"/>
  <c r="B94" i="13"/>
  <c r="B98" i="13"/>
  <c r="F25" i="18" s="1"/>
  <c r="B99" i="13"/>
  <c r="B64" i="13"/>
  <c r="B65" i="13"/>
  <c r="B66" i="13"/>
  <c r="B43" i="3"/>
  <c r="B42" i="3"/>
  <c r="D65" i="16"/>
  <c r="D60" i="20" s="1"/>
  <c r="B9" i="16"/>
  <c r="B65" i="16" s="1"/>
  <c r="B63" i="7"/>
  <c r="B64" i="7"/>
  <c r="B11" i="16" s="1"/>
  <c r="B67" i="16" s="1"/>
  <c r="B65" i="7"/>
  <c r="B12" i="16" s="1"/>
  <c r="B68" i="16" s="1"/>
  <c r="C14" i="17" s="1"/>
  <c r="B66" i="7"/>
  <c r="B13" i="16" s="1"/>
  <c r="B69" i="16" s="1"/>
  <c r="B67" i="7"/>
  <c r="B14" i="16" s="1"/>
  <c r="B68" i="7"/>
  <c r="B15" i="16" s="1"/>
  <c r="B71" i="16" s="1"/>
  <c r="C17" i="17" s="1"/>
  <c r="B69" i="7"/>
  <c r="B16" i="16" s="1"/>
  <c r="B72" i="16" s="1"/>
  <c r="C18" i="17" s="1"/>
  <c r="B70" i="7"/>
  <c r="B17" i="16" s="1"/>
  <c r="B73" i="16" s="1"/>
  <c r="C19" i="17" s="1"/>
  <c r="B71" i="7"/>
  <c r="B18" i="16" s="1"/>
  <c r="B74" i="16" s="1"/>
  <c r="B72" i="7"/>
  <c r="B19" i="16" s="1"/>
  <c r="B75" i="16" s="1"/>
  <c r="C21" i="17" s="1"/>
  <c r="B73" i="7"/>
  <c r="B20" i="16" s="1"/>
  <c r="B76" i="16" s="1"/>
  <c r="B74" i="7"/>
  <c r="B21" i="16" s="1"/>
  <c r="B77" i="16" s="1"/>
  <c r="C23" i="17" s="1"/>
  <c r="B75" i="7"/>
  <c r="B22" i="16" s="1"/>
  <c r="B78" i="16" s="1"/>
  <c r="B76" i="7"/>
  <c r="B23" i="16" s="1"/>
  <c r="B79" i="16" s="1"/>
  <c r="B77" i="7"/>
  <c r="B24" i="16" s="1"/>
  <c r="B80" i="16" s="1"/>
  <c r="B78" i="7"/>
  <c r="B25" i="16" s="1"/>
  <c r="B81" i="16" s="1"/>
  <c r="C27" i="17" s="1"/>
  <c r="B26" i="16"/>
  <c r="B82" i="16" s="1"/>
  <c r="B27" i="16"/>
  <c r="B80" i="7" s="1"/>
  <c r="C11" i="15" s="1"/>
  <c r="B28" i="16"/>
  <c r="B84" i="16" s="1"/>
  <c r="B35" i="1"/>
  <c r="B44" i="1"/>
  <c r="B40" i="1"/>
  <c r="D60" i="18" s="1"/>
  <c r="B45" i="1"/>
  <c r="F76" i="13"/>
  <c r="D41" i="18" s="1"/>
  <c r="F55" i="13"/>
  <c r="F56" i="13"/>
  <c r="F57" i="13"/>
  <c r="F58" i="13"/>
  <c r="F59" i="13"/>
  <c r="F60" i="13"/>
  <c r="F61" i="13"/>
  <c r="F62" i="13"/>
  <c r="F63" i="13"/>
  <c r="F64" i="13"/>
  <c r="F65" i="13"/>
  <c r="F66" i="13"/>
  <c r="F67" i="13"/>
  <c r="B30" i="3"/>
  <c r="B29" i="3"/>
  <c r="D66" i="16"/>
  <c r="D61" i="20" s="1"/>
  <c r="D67" i="16"/>
  <c r="D62" i="20" s="1"/>
  <c r="D68" i="16"/>
  <c r="D14" i="20" s="1"/>
  <c r="D69" i="16"/>
  <c r="D64" i="20" s="1"/>
  <c r="D70" i="16"/>
  <c r="D65" i="20" s="1"/>
  <c r="D71" i="16"/>
  <c r="D66" i="20" s="1"/>
  <c r="D72" i="16"/>
  <c r="D67" i="20" s="1"/>
  <c r="D73" i="16"/>
  <c r="D68" i="20" s="1"/>
  <c r="D74" i="16"/>
  <c r="D20" i="20" s="1"/>
  <c r="D75" i="16"/>
  <c r="D70" i="20" s="1"/>
  <c r="D76" i="16"/>
  <c r="D22" i="20" s="1"/>
  <c r="D77" i="16"/>
  <c r="D72" i="20" s="1"/>
  <c r="D23" i="17"/>
  <c r="D78" i="16"/>
  <c r="D73" i="20" s="1"/>
  <c r="D79" i="16"/>
  <c r="D25" i="17" s="1"/>
  <c r="D80" i="16"/>
  <c r="D75" i="20" s="1"/>
  <c r="D81" i="16"/>
  <c r="D76" i="20" s="1"/>
  <c r="D82" i="16"/>
  <c r="D77" i="20" s="1"/>
  <c r="D83" i="16"/>
  <c r="D78" i="20" s="1"/>
  <c r="D84" i="16"/>
  <c r="D79" i="20" s="1"/>
  <c r="F61" i="16"/>
  <c r="F6" i="17" s="1"/>
  <c r="F65" i="16"/>
  <c r="F60" i="20" s="1"/>
  <c r="F66" i="16"/>
  <c r="F12" i="17" s="1"/>
  <c r="F67" i="16"/>
  <c r="F62" i="20" s="1"/>
  <c r="F68" i="16"/>
  <c r="F14" i="17" s="1"/>
  <c r="F69" i="16"/>
  <c r="F15" i="20" s="1"/>
  <c r="F70" i="16"/>
  <c r="F16" i="20" s="1"/>
  <c r="F71" i="16"/>
  <c r="F66" i="20" s="1"/>
  <c r="F72" i="16"/>
  <c r="F67" i="20" s="1"/>
  <c r="F73" i="16"/>
  <c r="F19" i="17" s="1"/>
  <c r="F74" i="16"/>
  <c r="F69" i="20" s="1"/>
  <c r="F75" i="16"/>
  <c r="F70" i="20" s="1"/>
  <c r="F76" i="16"/>
  <c r="F22" i="17" s="1"/>
  <c r="F77" i="16"/>
  <c r="F23" i="17" s="1"/>
  <c r="F78" i="16"/>
  <c r="F24" i="20" s="1"/>
  <c r="F79" i="16"/>
  <c r="F25" i="17" s="1"/>
  <c r="F74" i="20"/>
  <c r="F80" i="16"/>
  <c r="F75" i="20" s="1"/>
  <c r="F81" i="16"/>
  <c r="F27" i="17" s="1"/>
  <c r="F82" i="16"/>
  <c r="F77" i="20" s="1"/>
  <c r="F83" i="16"/>
  <c r="F29" i="20" s="1"/>
  <c r="F84" i="16"/>
  <c r="F79" i="20" s="1"/>
  <c r="D60" i="16"/>
  <c r="D5" i="17" s="1"/>
  <c r="B36" i="1"/>
  <c r="B41" i="1"/>
  <c r="D64" i="18" s="1"/>
  <c r="F60" i="16"/>
  <c r="F5" i="20" s="1"/>
  <c r="F26" i="20"/>
  <c r="D12" i="17"/>
  <c r="D16" i="17"/>
  <c r="D19" i="17"/>
  <c r="D30" i="17"/>
  <c r="F17" i="17"/>
  <c r="D6" i="11"/>
  <c r="D13" i="11"/>
  <c r="D15" i="11"/>
  <c r="D16" i="11"/>
  <c r="D18" i="11"/>
  <c r="D24" i="11"/>
  <c r="D30" i="11"/>
  <c r="F5" i="11"/>
  <c r="F11" i="11"/>
  <c r="G11" i="11" s="1"/>
  <c r="F12" i="11"/>
  <c r="F13" i="11"/>
  <c r="F21" i="11"/>
  <c r="F27" i="11"/>
  <c r="F28" i="11"/>
  <c r="G28" i="11" s="1"/>
  <c r="F30" i="11"/>
  <c r="P27" i="18"/>
  <c r="N27" i="18"/>
  <c r="D62" i="18"/>
  <c r="P62" i="18"/>
  <c r="N62" i="18"/>
  <c r="F62" i="18"/>
  <c r="B41" i="7"/>
  <c r="B21" i="15" s="1"/>
  <c r="E98" i="21"/>
  <c r="E92" i="21"/>
  <c r="B92" i="21"/>
  <c r="F99" i="13"/>
  <c r="D58" i="18" s="1"/>
  <c r="F98" i="13"/>
  <c r="D25" i="18" s="1"/>
  <c r="F94" i="13"/>
  <c r="D55" i="18" s="1"/>
  <c r="F93" i="13"/>
  <c r="F89" i="13"/>
  <c r="D52" i="18" s="1"/>
  <c r="F88" i="13"/>
  <c r="D18" i="18" s="1"/>
  <c r="D19" i="18"/>
  <c r="F84" i="13"/>
  <c r="D49" i="18" s="1"/>
  <c r="F83" i="13"/>
  <c r="D16" i="18" s="1"/>
  <c r="F79" i="13"/>
  <c r="D46" i="18" s="1"/>
  <c r="F78" i="13"/>
  <c r="D13" i="18" s="1"/>
  <c r="F86" i="13"/>
  <c r="D48" i="18" s="1"/>
  <c r="E7" i="21"/>
  <c r="B7" i="21"/>
  <c r="I2" i="20"/>
  <c r="A11" i="20"/>
  <c r="A60" i="20" s="1"/>
  <c r="A12" i="20"/>
  <c r="A61" i="20" s="1"/>
  <c r="A13" i="20"/>
  <c r="A62" i="20" s="1"/>
  <c r="A14" i="20"/>
  <c r="A63" i="20" s="1"/>
  <c r="A15" i="20"/>
  <c r="A16" i="20"/>
  <c r="A65" i="20" s="1"/>
  <c r="A17" i="20"/>
  <c r="A66" i="20" s="1"/>
  <c r="A18" i="20"/>
  <c r="A19" i="20"/>
  <c r="A68" i="20" s="1"/>
  <c r="A20" i="20"/>
  <c r="A69" i="20" s="1"/>
  <c r="A21" i="20"/>
  <c r="A70" i="20" s="1"/>
  <c r="A22" i="20"/>
  <c r="A71" i="20" s="1"/>
  <c r="A23" i="20"/>
  <c r="A72" i="20" s="1"/>
  <c r="A24" i="20"/>
  <c r="A73" i="20" s="1"/>
  <c r="A25" i="20"/>
  <c r="A74" i="20" s="1"/>
  <c r="A26" i="20"/>
  <c r="A75" i="20" s="1"/>
  <c r="A27" i="20"/>
  <c r="A28" i="20"/>
  <c r="A77" i="20" s="1"/>
  <c r="A29" i="20"/>
  <c r="A78" i="20" s="1"/>
  <c r="A30" i="20"/>
  <c r="A79" i="20" s="1"/>
  <c r="A31" i="20"/>
  <c r="A80" i="20" s="1"/>
  <c r="A33" i="20"/>
  <c r="A82" i="20" s="1"/>
  <c r="I51" i="20"/>
  <c r="A64" i="20"/>
  <c r="A67" i="20"/>
  <c r="A76" i="20"/>
  <c r="A12" i="19"/>
  <c r="A61" i="19" s="1"/>
  <c r="A13" i="19"/>
  <c r="A62" i="19" s="1"/>
  <c r="A14" i="19"/>
  <c r="A63" i="19" s="1"/>
  <c r="A15" i="19"/>
  <c r="A64" i="19" s="1"/>
  <c r="A16" i="19"/>
  <c r="A65" i="19" s="1"/>
  <c r="A17" i="19"/>
  <c r="A66" i="19"/>
  <c r="A18" i="19"/>
  <c r="A67" i="19" s="1"/>
  <c r="A19" i="19"/>
  <c r="A68" i="19"/>
  <c r="A20" i="19"/>
  <c r="A69" i="19"/>
  <c r="A21" i="19"/>
  <c r="A70" i="19" s="1"/>
  <c r="A22" i="19"/>
  <c r="A71" i="19"/>
  <c r="A23" i="19"/>
  <c r="A72" i="19"/>
  <c r="A24" i="19"/>
  <c r="A73" i="19" s="1"/>
  <c r="A25" i="19"/>
  <c r="A74" i="19"/>
  <c r="A26" i="19"/>
  <c r="A75" i="19" s="1"/>
  <c r="A27" i="19"/>
  <c r="A76" i="19" s="1"/>
  <c r="A28" i="19"/>
  <c r="A77" i="19"/>
  <c r="A29" i="19"/>
  <c r="A78" i="19"/>
  <c r="A30" i="19"/>
  <c r="A79" i="19" s="1"/>
  <c r="A31" i="19"/>
  <c r="A80" i="19"/>
  <c r="A33" i="19"/>
  <c r="A82" i="19" s="1"/>
  <c r="A11" i="19"/>
  <c r="A60" i="19" s="1"/>
  <c r="I51" i="19"/>
  <c r="I2" i="19"/>
  <c r="F64" i="18"/>
  <c r="F58" i="18"/>
  <c r="F55" i="18"/>
  <c r="F31" i="18"/>
  <c r="F22" i="18"/>
  <c r="F16" i="18"/>
  <c r="D22" i="18"/>
  <c r="A31" i="17"/>
  <c r="A33" i="17"/>
  <c r="A12" i="17"/>
  <c r="A13" i="17"/>
  <c r="A14" i="17"/>
  <c r="A15" i="17"/>
  <c r="A16" i="17"/>
  <c r="A17" i="17"/>
  <c r="A18" i="17"/>
  <c r="A19" i="17"/>
  <c r="A20" i="17"/>
  <c r="A21" i="17"/>
  <c r="A22" i="17"/>
  <c r="A23" i="17"/>
  <c r="A24" i="17"/>
  <c r="A25" i="17"/>
  <c r="A26" i="17"/>
  <c r="A27" i="17"/>
  <c r="A28" i="17"/>
  <c r="A29" i="17"/>
  <c r="A30" i="17"/>
  <c r="A11" i="17"/>
  <c r="B91" i="7"/>
  <c r="C21" i="15" s="1"/>
  <c r="B88" i="7"/>
  <c r="C19" i="15" s="1"/>
  <c r="B49" i="3"/>
  <c r="B36" i="3"/>
  <c r="P55" i="18"/>
  <c r="P52" i="18"/>
  <c r="P46" i="18"/>
  <c r="P41" i="18"/>
  <c r="P31" i="18"/>
  <c r="P25" i="18"/>
  <c r="P22" i="18"/>
  <c r="P16" i="18"/>
  <c r="P13" i="18"/>
  <c r="P8" i="18"/>
  <c r="N52" i="18"/>
  <c r="N46" i="18"/>
  <c r="N41" i="18"/>
  <c r="N31" i="18"/>
  <c r="N25" i="18"/>
  <c r="N22" i="18"/>
  <c r="N13" i="18"/>
  <c r="N8" i="18"/>
  <c r="B38" i="7"/>
  <c r="B19" i="15" s="1"/>
  <c r="B30" i="7"/>
  <c r="B11" i="15" s="1"/>
  <c r="A13" i="7"/>
  <c r="A14" i="7"/>
  <c r="A15" i="7"/>
  <c r="A16" i="7"/>
  <c r="A17" i="7"/>
  <c r="A18" i="7"/>
  <c r="A19" i="7"/>
  <c r="A20" i="7"/>
  <c r="A21" i="7"/>
  <c r="A22" i="7"/>
  <c r="A23" i="7"/>
  <c r="A24" i="7"/>
  <c r="A25" i="7"/>
  <c r="A26" i="7"/>
  <c r="A27" i="7"/>
  <c r="A28" i="7"/>
  <c r="A29" i="7"/>
  <c r="A30" i="7"/>
  <c r="A31" i="7"/>
  <c r="A31" i="11"/>
  <c r="A33" i="11"/>
  <c r="A13" i="11"/>
  <c r="A14" i="11"/>
  <c r="A15" i="11"/>
  <c r="A16" i="11"/>
  <c r="A17" i="11"/>
  <c r="A18" i="11"/>
  <c r="A19" i="11"/>
  <c r="A20" i="11"/>
  <c r="A21" i="11"/>
  <c r="A22" i="11"/>
  <c r="A23" i="11"/>
  <c r="A24" i="11"/>
  <c r="A25" i="11"/>
  <c r="A26" i="11"/>
  <c r="A27" i="11"/>
  <c r="A28" i="11"/>
  <c r="A29" i="11"/>
  <c r="A30" i="11"/>
  <c r="A11" i="11"/>
  <c r="B23" i="3"/>
  <c r="B6" i="3"/>
  <c r="B7" i="3" s="1"/>
  <c r="B8" i="3" s="1"/>
  <c r="B10" i="3"/>
  <c r="I2" i="11"/>
  <c r="I2" i="17"/>
  <c r="A62" i="7"/>
  <c r="A63" i="7"/>
  <c r="A64" i="7"/>
  <c r="A65" i="7"/>
  <c r="A66" i="7"/>
  <c r="A68" i="7"/>
  <c r="A69" i="7"/>
  <c r="A70" i="7"/>
  <c r="A71" i="7"/>
  <c r="A72" i="7"/>
  <c r="A73" i="7"/>
  <c r="A74" i="7"/>
  <c r="A75" i="7"/>
  <c r="A76" i="7"/>
  <c r="A77" i="7"/>
  <c r="A78" i="7"/>
  <c r="A79" i="7"/>
  <c r="A80" i="7"/>
  <c r="A81" i="7"/>
  <c r="B79" i="7"/>
  <c r="C17" i="15" s="1"/>
  <c r="C21" i="11"/>
  <c r="F11" i="20"/>
  <c r="F75" i="13"/>
  <c r="F101" i="13" s="1"/>
  <c r="D57" i="18" s="1"/>
  <c r="C28" i="11"/>
  <c r="D27" i="20"/>
  <c r="D21" i="20"/>
  <c r="D19" i="20"/>
  <c r="D15" i="20"/>
  <c r="D13" i="20"/>
  <c r="F30" i="19"/>
  <c r="F28" i="19"/>
  <c r="F20" i="19"/>
  <c r="F18" i="19"/>
  <c r="F16" i="19"/>
  <c r="F12" i="19"/>
  <c r="D29" i="19"/>
  <c r="D27" i="19"/>
  <c r="C29" i="11"/>
  <c r="E29" i="11" s="1"/>
  <c r="F22" i="20"/>
  <c r="D11" i="19"/>
  <c r="D11" i="11"/>
  <c r="F20" i="17"/>
  <c r="F16" i="17"/>
  <c r="F71" i="20"/>
  <c r="F63" i="20"/>
  <c r="G29" i="11"/>
  <c r="B37" i="1"/>
  <c r="B17" i="2" s="1"/>
  <c r="D31" i="18"/>
  <c r="F26" i="11"/>
  <c r="F26" i="19"/>
  <c r="F75" i="19"/>
  <c r="D26" i="20"/>
  <c r="D78" i="19"/>
  <c r="D29" i="11"/>
  <c r="D69" i="19"/>
  <c r="D20" i="19"/>
  <c r="D20" i="11"/>
  <c r="B86" i="5"/>
  <c r="C86" i="5" s="1"/>
  <c r="B31" i="7"/>
  <c r="B12" i="15" s="1"/>
  <c r="B67" i="5"/>
  <c r="C67" i="5" s="1"/>
  <c r="E67" i="5"/>
  <c r="C11" i="11"/>
  <c r="B12" i="7"/>
  <c r="B10" i="16"/>
  <c r="B66" i="16" s="1"/>
  <c r="C66" i="16" s="1"/>
  <c r="D14" i="17"/>
  <c r="F23" i="11"/>
  <c r="F23" i="19"/>
  <c r="D63" i="19"/>
  <c r="D14" i="19"/>
  <c r="D14" i="11"/>
  <c r="B10" i="15"/>
  <c r="B83" i="16"/>
  <c r="E83" i="16" s="1"/>
  <c r="D75" i="19"/>
  <c r="D26" i="11"/>
  <c r="D66" i="19"/>
  <c r="D17" i="11"/>
  <c r="D17" i="19"/>
  <c r="F17" i="19"/>
  <c r="F66" i="19"/>
  <c r="D21" i="17"/>
  <c r="D15" i="17"/>
  <c r="D12" i="20"/>
  <c r="F21" i="19"/>
  <c r="E86" i="5"/>
  <c r="G30" i="11" l="1"/>
  <c r="E30" i="11"/>
  <c r="E85" i="5"/>
  <c r="C85" i="5"/>
  <c r="C26" i="11"/>
  <c r="G26" i="11" s="1"/>
  <c r="B82" i="5"/>
  <c r="E82" i="5" s="1"/>
  <c r="C24" i="11"/>
  <c r="B80" i="5"/>
  <c r="E80" i="5" s="1"/>
  <c r="B74" i="5"/>
  <c r="C18" i="11"/>
  <c r="E18" i="11" s="1"/>
  <c r="F24" i="11"/>
  <c r="F20" i="20"/>
  <c r="F5" i="17"/>
  <c r="D22" i="17"/>
  <c r="D68" i="19"/>
  <c r="F19" i="11"/>
  <c r="F18" i="11"/>
  <c r="G18" i="11" s="1"/>
  <c r="D24" i="20"/>
  <c r="E11" i="11"/>
  <c r="E28" i="11"/>
  <c r="F15" i="11"/>
  <c r="B39" i="3"/>
  <c r="B50" i="3"/>
  <c r="F73" i="19"/>
  <c r="F54" i="19"/>
  <c r="D27" i="17"/>
  <c r="F22" i="13"/>
  <c r="D25" i="19"/>
  <c r="B7" i="1"/>
  <c r="B4" i="2" s="1"/>
  <c r="B37" i="3"/>
  <c r="D28" i="20"/>
  <c r="E80" i="16"/>
  <c r="F19" i="20"/>
  <c r="D18" i="20"/>
  <c r="B38" i="3"/>
  <c r="F68" i="13" s="1"/>
  <c r="F25" i="20"/>
  <c r="D28" i="11"/>
  <c r="D28" i="19"/>
  <c r="C13" i="11"/>
  <c r="E13" i="11" s="1"/>
  <c r="D25" i="11"/>
  <c r="D61" i="19"/>
  <c r="E21" i="11"/>
  <c r="B85" i="13"/>
  <c r="F15" i="18" s="1"/>
  <c r="F14" i="18" s="1"/>
  <c r="D22" i="11"/>
  <c r="D21" i="19"/>
  <c r="D21" i="11"/>
  <c r="D74" i="20"/>
  <c r="F68" i="19"/>
  <c r="D12" i="11"/>
  <c r="C84" i="5"/>
  <c r="D25" i="20"/>
  <c r="E84" i="5"/>
  <c r="B78" i="5"/>
  <c r="C78" i="5" s="1"/>
  <c r="C22" i="11"/>
  <c r="B79" i="5"/>
  <c r="C23" i="11"/>
  <c r="G23" i="11" s="1"/>
  <c r="B73" i="5"/>
  <c r="C17" i="11"/>
  <c r="C12" i="11"/>
  <c r="E12" i="11" s="1"/>
  <c r="B68" i="5"/>
  <c r="N14" i="18"/>
  <c r="B72" i="5"/>
  <c r="C72" i="5" s="1"/>
  <c r="C16" i="11"/>
  <c r="E16" i="11" s="1"/>
  <c r="B76" i="5"/>
  <c r="C20" i="11"/>
  <c r="C15" i="11"/>
  <c r="G15" i="11" s="1"/>
  <c r="B71" i="5"/>
  <c r="C71" i="5" s="1"/>
  <c r="B75" i="5"/>
  <c r="C75" i="5" s="1"/>
  <c r="C19" i="11"/>
  <c r="C14" i="11"/>
  <c r="E14" i="11" s="1"/>
  <c r="B70" i="5"/>
  <c r="C25" i="11"/>
  <c r="B81" i="5"/>
  <c r="C81" i="5" s="1"/>
  <c r="D23" i="11"/>
  <c r="F22" i="19"/>
  <c r="D16" i="19"/>
  <c r="D5" i="19"/>
  <c r="F11" i="19"/>
  <c r="D72" i="19"/>
  <c r="F74" i="13"/>
  <c r="D40" i="18" s="1"/>
  <c r="D39" i="18" s="1"/>
  <c r="E78" i="5"/>
  <c r="F54" i="20"/>
  <c r="C40" i="11"/>
  <c r="J5" i="11" s="1"/>
  <c r="E26" i="11"/>
  <c r="F49" i="13"/>
  <c r="N24" i="18" s="1"/>
  <c r="N23" i="18" s="1"/>
  <c r="F21" i="13"/>
  <c r="N7" i="18" s="1"/>
  <c r="N6" i="18" s="1"/>
  <c r="F24" i="13"/>
  <c r="F50" i="13" s="1"/>
  <c r="N57" i="18" s="1"/>
  <c r="N56" i="18" s="1"/>
  <c r="D8" i="18"/>
  <c r="D27" i="18"/>
  <c r="D35" i="18" s="1"/>
  <c r="F25" i="11"/>
  <c r="G25" i="11" s="1"/>
  <c r="F16" i="11"/>
  <c r="D16" i="20"/>
  <c r="F26" i="17"/>
  <c r="D71" i="20"/>
  <c r="B51" i="3"/>
  <c r="B68" i="13" s="1"/>
  <c r="C15" i="15" s="1"/>
  <c r="F27" i="19"/>
  <c r="F64" i="19"/>
  <c r="F25" i="19"/>
  <c r="C90" i="19"/>
  <c r="D23" i="20"/>
  <c r="B29" i="7"/>
  <c r="B32" i="7" s="1"/>
  <c r="B34" i="13"/>
  <c r="P15" i="18" s="1"/>
  <c r="B26" i="3"/>
  <c r="F22" i="11"/>
  <c r="G22" i="11" s="1"/>
  <c r="D19" i="11"/>
  <c r="C82" i="16"/>
  <c r="E67" i="16"/>
  <c r="F63" i="19"/>
  <c r="F14" i="19"/>
  <c r="F13" i="17"/>
  <c r="F12" i="20"/>
  <c r="B22" i="13"/>
  <c r="F13" i="20"/>
  <c r="D27" i="11"/>
  <c r="F68" i="20"/>
  <c r="D69" i="20"/>
  <c r="P14" i="18"/>
  <c r="D17" i="18"/>
  <c r="B25" i="3"/>
  <c r="B17" i="13" s="1"/>
  <c r="B11" i="3"/>
  <c r="C41" i="17"/>
  <c r="D47" i="18"/>
  <c r="C40" i="20"/>
  <c r="J5" i="20" s="1"/>
  <c r="C41" i="20"/>
  <c r="B42" i="1"/>
  <c r="B18" i="2" s="1"/>
  <c r="D68" i="18" s="1"/>
  <c r="C41" i="19"/>
  <c r="N60" i="18"/>
  <c r="N68" i="18" s="1"/>
  <c r="C41" i="11"/>
  <c r="F35" i="13"/>
  <c r="N48" i="18" s="1"/>
  <c r="N47" i="18" s="1"/>
  <c r="C40" i="19"/>
  <c r="J5" i="19" s="1"/>
  <c r="B13" i="3"/>
  <c r="F45" i="13"/>
  <c r="N54" i="18" s="1"/>
  <c r="N53" i="18" s="1"/>
  <c r="B52" i="3"/>
  <c r="B56" i="1"/>
  <c r="B22" i="2" s="1"/>
  <c r="F68" i="18" s="1"/>
  <c r="B75" i="13"/>
  <c r="C90" i="20"/>
  <c r="B86" i="13"/>
  <c r="F48" i="18" s="1"/>
  <c r="F47" i="18" s="1"/>
  <c r="C89" i="20"/>
  <c r="J54" i="20" s="1"/>
  <c r="B51" i="1"/>
  <c r="B21" i="2" s="1"/>
  <c r="C40" i="17"/>
  <c r="J5" i="17" s="1"/>
  <c r="F27" i="18"/>
  <c r="B73" i="13"/>
  <c r="B62" i="7"/>
  <c r="B81" i="7"/>
  <c r="B46" i="3"/>
  <c r="B47" i="3" s="1"/>
  <c r="B20" i="3"/>
  <c r="B21" i="3" s="1"/>
  <c r="D56" i="18"/>
  <c r="F41" i="18"/>
  <c r="F91" i="13"/>
  <c r="D51" i="18" s="1"/>
  <c r="D50" i="18" s="1"/>
  <c r="F96" i="13"/>
  <c r="D54" i="18" s="1"/>
  <c r="D53" i="18" s="1"/>
  <c r="F81" i="13"/>
  <c r="D45" i="18" s="1"/>
  <c r="D44" i="18" s="1"/>
  <c r="F85" i="13"/>
  <c r="D15" i="18" s="1"/>
  <c r="D14" i="18" s="1"/>
  <c r="D29" i="18"/>
  <c r="F73" i="13"/>
  <c r="B26" i="1"/>
  <c r="B9" i="2" s="1"/>
  <c r="P66" i="18" s="1"/>
  <c r="P68" i="18" s="1"/>
  <c r="C89" i="19"/>
  <c r="J54" i="19" s="1"/>
  <c r="B24" i="13"/>
  <c r="B50" i="13" s="1"/>
  <c r="P57" i="18" s="1"/>
  <c r="P56" i="18" s="1"/>
  <c r="B35" i="13"/>
  <c r="P48" i="18" s="1"/>
  <c r="P47" i="18" s="1"/>
  <c r="G17" i="17"/>
  <c r="E27" i="17"/>
  <c r="F29" i="17"/>
  <c r="D5" i="20"/>
  <c r="D17" i="20"/>
  <c r="F65" i="20"/>
  <c r="F14" i="20"/>
  <c r="F17" i="20"/>
  <c r="C81" i="16"/>
  <c r="D28" i="17"/>
  <c r="D13" i="17"/>
  <c r="F78" i="20"/>
  <c r="D20" i="17"/>
  <c r="F23" i="20"/>
  <c r="F28" i="17"/>
  <c r="D24" i="17"/>
  <c r="F28" i="20"/>
  <c r="F18" i="17"/>
  <c r="G18" i="17" s="1"/>
  <c r="F64" i="20"/>
  <c r="F61" i="20"/>
  <c r="F11" i="17"/>
  <c r="D30" i="20"/>
  <c r="F72" i="20"/>
  <c r="D63" i="20"/>
  <c r="C10" i="15"/>
  <c r="E66" i="16"/>
  <c r="B29" i="16"/>
  <c r="C10" i="16" s="1"/>
  <c r="C79" i="16"/>
  <c r="E79" i="16"/>
  <c r="C11" i="17"/>
  <c r="E65" i="16"/>
  <c r="C65" i="16"/>
  <c r="B70" i="16"/>
  <c r="B85" i="16" s="1"/>
  <c r="E78" i="16"/>
  <c r="C24" i="17"/>
  <c r="C76" i="16"/>
  <c r="E76" i="16"/>
  <c r="C22" i="17"/>
  <c r="E84" i="16"/>
  <c r="C30" i="17"/>
  <c r="E30" i="17" s="1"/>
  <c r="C20" i="17"/>
  <c r="G20" i="17" s="1"/>
  <c r="C74" i="16"/>
  <c r="E74" i="16"/>
  <c r="C80" i="16"/>
  <c r="F18" i="20"/>
  <c r="E69" i="16"/>
  <c r="C83" i="16"/>
  <c r="D6" i="17"/>
  <c r="C26" i="17"/>
  <c r="G26" i="17" s="1"/>
  <c r="D11" i="20"/>
  <c r="C71" i="16"/>
  <c r="E71" i="16"/>
  <c r="E72" i="16"/>
  <c r="E77" i="16"/>
  <c r="F15" i="17"/>
  <c r="D11" i="17"/>
  <c r="F24" i="17"/>
  <c r="C29" i="17"/>
  <c r="D26" i="17"/>
  <c r="F27" i="20"/>
  <c r="E82" i="16"/>
  <c r="D17" i="17"/>
  <c r="E17" i="17" s="1"/>
  <c r="C69" i="16"/>
  <c r="F73" i="20"/>
  <c r="C72" i="16"/>
  <c r="E81" i="16"/>
  <c r="F30" i="17"/>
  <c r="F30" i="20"/>
  <c r="E23" i="17"/>
  <c r="F21" i="17"/>
  <c r="G21" i="17" s="1"/>
  <c r="E75" i="16"/>
  <c r="D29" i="20"/>
  <c r="F21" i="20"/>
  <c r="F76" i="20"/>
  <c r="D29" i="17"/>
  <c r="D18" i="17"/>
  <c r="E18" i="17" s="1"/>
  <c r="C68" i="16"/>
  <c r="G23" i="17"/>
  <c r="C75" i="16"/>
  <c r="C28" i="17"/>
  <c r="E21" i="17"/>
  <c r="C84" i="16"/>
  <c r="C25" i="17"/>
  <c r="E25" i="17" s="1"/>
  <c r="C77" i="16"/>
  <c r="C12" i="15"/>
  <c r="G27" i="17"/>
  <c r="G19" i="17"/>
  <c r="E19" i="17"/>
  <c r="G14" i="17"/>
  <c r="E14" i="17"/>
  <c r="C67" i="16"/>
  <c r="C78" i="16"/>
  <c r="E68" i="16"/>
  <c r="C12" i="17"/>
  <c r="E12" i="17" s="1"/>
  <c r="C73" i="16"/>
  <c r="C15" i="17"/>
  <c r="C13" i="17"/>
  <c r="E73" i="16"/>
  <c r="D33" i="18"/>
  <c r="P35" i="18"/>
  <c r="P33" i="18"/>
  <c r="B6" i="2"/>
  <c r="C5" i="2" s="1"/>
  <c r="G24" i="11"/>
  <c r="E24" i="11"/>
  <c r="E77" i="5"/>
  <c r="C77" i="5"/>
  <c r="E74" i="5"/>
  <c r="C74" i="5"/>
  <c r="C69" i="5"/>
  <c r="E69" i="5"/>
  <c r="G27" i="11"/>
  <c r="E27" i="11"/>
  <c r="G21" i="11"/>
  <c r="B83" i="5"/>
  <c r="C80" i="5"/>
  <c r="B29" i="5"/>
  <c r="C19" i="5" s="1"/>
  <c r="B12" i="3"/>
  <c r="F17" i="13" s="1"/>
  <c r="G19" i="11" l="1"/>
  <c r="C11" i="16"/>
  <c r="C22" i="16"/>
  <c r="C24" i="16"/>
  <c r="G16" i="11"/>
  <c r="F30" i="13"/>
  <c r="F40" i="13"/>
  <c r="N51" i="18" s="1"/>
  <c r="N50" i="18" s="1"/>
  <c r="F23" i="13"/>
  <c r="N40" i="18" s="1"/>
  <c r="N39" i="18" s="1"/>
  <c r="E24" i="17"/>
  <c r="G12" i="11"/>
  <c r="C82" i="5"/>
  <c r="D66" i="18"/>
  <c r="E15" i="11"/>
  <c r="E31" i="11" s="1"/>
  <c r="G13" i="11"/>
  <c r="G31" i="11" s="1"/>
  <c r="B19" i="2"/>
  <c r="C19" i="2" s="1"/>
  <c r="E22" i="11"/>
  <c r="B82" i="7"/>
  <c r="E23" i="11"/>
  <c r="F44" i="13"/>
  <c r="N21" i="18" s="1"/>
  <c r="N20" i="18" s="1"/>
  <c r="F29" i="13"/>
  <c r="N12" i="18" s="1"/>
  <c r="N11" i="18" s="1"/>
  <c r="N10" i="18" s="1"/>
  <c r="F39" i="13"/>
  <c r="N18" i="18" s="1"/>
  <c r="N17" i="18" s="1"/>
  <c r="B10" i="2"/>
  <c r="C8" i="2" s="1"/>
  <c r="C21" i="2" s="1"/>
  <c r="N33" i="18"/>
  <c r="N35" i="18"/>
  <c r="C26" i="16"/>
  <c r="E71" i="5"/>
  <c r="C31" i="17"/>
  <c r="E25" i="11"/>
  <c r="E75" i="5"/>
  <c r="G14" i="11"/>
  <c r="E19" i="11"/>
  <c r="E72" i="5"/>
  <c r="E73" i="5"/>
  <c r="C73" i="5"/>
  <c r="C79" i="5"/>
  <c r="E79" i="5"/>
  <c r="B49" i="13"/>
  <c r="P24" i="18" s="1"/>
  <c r="P23" i="18" s="1"/>
  <c r="B44" i="13"/>
  <c r="P21" i="18" s="1"/>
  <c r="P20" i="18" s="1"/>
  <c r="B29" i="13"/>
  <c r="P12" i="18" s="1"/>
  <c r="P11" i="18" s="1"/>
  <c r="B39" i="13"/>
  <c r="P18" i="18" s="1"/>
  <c r="P17" i="18" s="1"/>
  <c r="B21" i="13"/>
  <c r="P7" i="18" s="1"/>
  <c r="P6" i="18" s="1"/>
  <c r="G17" i="11"/>
  <c r="E17" i="11"/>
  <c r="E81" i="5"/>
  <c r="E87" i="5" s="1"/>
  <c r="C70" i="5"/>
  <c r="E70" i="5"/>
  <c r="E20" i="11"/>
  <c r="G20" i="11"/>
  <c r="E76" i="5"/>
  <c r="C76" i="5"/>
  <c r="E68" i="5"/>
  <c r="C68" i="5"/>
  <c r="F35" i="18"/>
  <c r="B15" i="15"/>
  <c r="D43" i="18"/>
  <c r="F66" i="18"/>
  <c r="B74" i="13"/>
  <c r="F40" i="18" s="1"/>
  <c r="F39" i="18" s="1"/>
  <c r="B91" i="13"/>
  <c r="F51" i="18" s="1"/>
  <c r="F50" i="18" s="1"/>
  <c r="B96" i="13"/>
  <c r="F54" i="18" s="1"/>
  <c r="F53" i="18" s="1"/>
  <c r="B101" i="13"/>
  <c r="F57" i="18" s="1"/>
  <c r="F56" i="18" s="1"/>
  <c r="B81" i="13"/>
  <c r="F45" i="18" s="1"/>
  <c r="F44" i="18" s="1"/>
  <c r="B23" i="2"/>
  <c r="B55" i="7" s="1"/>
  <c r="F33" i="18"/>
  <c r="B72" i="13"/>
  <c r="B80" i="13"/>
  <c r="B95" i="13"/>
  <c r="F21" i="18" s="1"/>
  <c r="F20" i="18" s="1"/>
  <c r="B100" i="13"/>
  <c r="F24" i="18" s="1"/>
  <c r="F23" i="18" s="1"/>
  <c r="B90" i="13"/>
  <c r="F18" i="18" s="1"/>
  <c r="F17" i="18" s="1"/>
  <c r="C9" i="16"/>
  <c r="F100" i="13"/>
  <c r="D24" i="18" s="1"/>
  <c r="D23" i="18" s="1"/>
  <c r="F90" i="13"/>
  <c r="F80" i="13"/>
  <c r="D12" i="18" s="1"/>
  <c r="D11" i="18" s="1"/>
  <c r="F72" i="13"/>
  <c r="F95" i="13"/>
  <c r="D21" i="18" s="1"/>
  <c r="D20" i="18" s="1"/>
  <c r="B23" i="13"/>
  <c r="B45" i="13"/>
  <c r="P54" i="18" s="1"/>
  <c r="P53" i="18" s="1"/>
  <c r="B40" i="13"/>
  <c r="P51" i="18" s="1"/>
  <c r="P50" i="18" s="1"/>
  <c r="B30" i="13"/>
  <c r="G11" i="17"/>
  <c r="G15" i="17"/>
  <c r="G28" i="17"/>
  <c r="G29" i="17"/>
  <c r="E26" i="17"/>
  <c r="C29" i="16"/>
  <c r="C20" i="16"/>
  <c r="C23" i="16"/>
  <c r="C16" i="16"/>
  <c r="C17" i="16"/>
  <c r="C28" i="16"/>
  <c r="C15" i="16"/>
  <c r="C12" i="16"/>
  <c r="E11" i="17"/>
  <c r="C14" i="16"/>
  <c r="C25" i="16"/>
  <c r="C13" i="16"/>
  <c r="C19" i="16"/>
  <c r="C21" i="16"/>
  <c r="G24" i="17"/>
  <c r="E29" i="17"/>
  <c r="E20" i="17"/>
  <c r="C27" i="16"/>
  <c r="C18" i="16"/>
  <c r="G22" i="17"/>
  <c r="E22" i="17"/>
  <c r="E15" i="17"/>
  <c r="G30" i="17"/>
  <c r="C70" i="16"/>
  <c r="C85" i="16" s="1"/>
  <c r="E70" i="16"/>
  <c r="E85" i="16" s="1"/>
  <c r="C16" i="17"/>
  <c r="G12" i="17"/>
  <c r="E28" i="17"/>
  <c r="G25" i="17"/>
  <c r="G13" i="17"/>
  <c r="E13" i="17"/>
  <c r="C18" i="2"/>
  <c r="C17" i="2"/>
  <c r="P40" i="18"/>
  <c r="P39" i="18" s="1"/>
  <c r="N45" i="18"/>
  <c r="N44" i="18" s="1"/>
  <c r="N43" i="18" s="1"/>
  <c r="C6" i="2"/>
  <c r="B4" i="7"/>
  <c r="C39" i="19"/>
  <c r="B51" i="5"/>
  <c r="C4" i="2"/>
  <c r="B4" i="6"/>
  <c r="C87" i="5"/>
  <c r="C20" i="5"/>
  <c r="C29" i="5"/>
  <c r="C27" i="5"/>
  <c r="C12" i="5"/>
  <c r="C14" i="5"/>
  <c r="C21" i="5"/>
  <c r="C15" i="5"/>
  <c r="C9" i="5"/>
  <c r="C23" i="5"/>
  <c r="C31" i="11"/>
  <c r="C24" i="5"/>
  <c r="C18" i="5"/>
  <c r="C17" i="5"/>
  <c r="C10" i="5"/>
  <c r="C28" i="5"/>
  <c r="C26" i="5"/>
  <c r="C13" i="5"/>
  <c r="C22" i="5"/>
  <c r="E83" i="5"/>
  <c r="C83" i="5"/>
  <c r="C11" i="5"/>
  <c r="B87" i="5"/>
  <c r="C16" i="5"/>
  <c r="C25" i="5"/>
  <c r="B12" i="2" l="1"/>
  <c r="C9" i="2"/>
  <c r="C22" i="2" s="1"/>
  <c r="D31" i="11"/>
  <c r="P10" i="18"/>
  <c r="C10" i="2"/>
  <c r="C23" i="2" s="1"/>
  <c r="B5" i="6"/>
  <c r="F3" i="13"/>
  <c r="B52" i="5"/>
  <c r="B11" i="6"/>
  <c r="B51" i="16"/>
  <c r="F16" i="13"/>
  <c r="C88" i="19"/>
  <c r="B54" i="7"/>
  <c r="B5" i="7"/>
  <c r="B3" i="13"/>
  <c r="C39" i="20"/>
  <c r="J6" i="20" s="1"/>
  <c r="F31" i="11"/>
  <c r="C88" i="20"/>
  <c r="J55" i="20" s="1"/>
  <c r="F43" i="18"/>
  <c r="B25" i="2"/>
  <c r="C3" i="15" s="1"/>
  <c r="C2" i="15" s="1"/>
  <c r="B12" i="6"/>
  <c r="B13" i="6" s="1"/>
  <c r="B52" i="16"/>
  <c r="F12" i="18"/>
  <c r="F11" i="18" s="1"/>
  <c r="F10" i="18" s="1"/>
  <c r="B67" i="13"/>
  <c r="F7" i="18"/>
  <c r="F6" i="18" s="1"/>
  <c r="B54" i="13"/>
  <c r="D7" i="18"/>
  <c r="D6" i="18" s="1"/>
  <c r="F54" i="13"/>
  <c r="D10" i="18"/>
  <c r="P45" i="18"/>
  <c r="P44" i="18" s="1"/>
  <c r="P43" i="18" s="1"/>
  <c r="B16" i="13"/>
  <c r="E16" i="17"/>
  <c r="E31" i="17" s="1"/>
  <c r="D31" i="17" s="1"/>
  <c r="G16" i="17"/>
  <c r="G31" i="17" s="1"/>
  <c r="F31" i="17" s="1"/>
  <c r="J55" i="19"/>
  <c r="C91" i="19"/>
  <c r="B3" i="15"/>
  <c r="B3" i="7"/>
  <c r="C39" i="11"/>
  <c r="C42" i="19"/>
  <c r="J6" i="19"/>
  <c r="B6" i="6"/>
  <c r="F18" i="13"/>
  <c r="F19" i="13"/>
  <c r="B13" i="1" s="1"/>
  <c r="B53" i="5"/>
  <c r="C51" i="5" s="1"/>
  <c r="C42" i="20" l="1"/>
  <c r="B18" i="13"/>
  <c r="B53" i="7"/>
  <c r="C39" i="17"/>
  <c r="C91" i="20"/>
  <c r="B53" i="16"/>
  <c r="C52" i="16" s="1"/>
  <c r="B69" i="13"/>
  <c r="B70" i="13"/>
  <c r="F69" i="13"/>
  <c r="G54" i="13" s="1"/>
  <c r="F70" i="13"/>
  <c r="B19" i="13"/>
  <c r="P78" i="18" s="1"/>
  <c r="B8" i="1"/>
  <c r="R55" i="20"/>
  <c r="M55" i="20"/>
  <c r="P55" i="20"/>
  <c r="N55" i="20"/>
  <c r="O55" i="20"/>
  <c r="Q55" i="20"/>
  <c r="S55" i="20"/>
  <c r="C11" i="6"/>
  <c r="C13" i="6"/>
  <c r="C12" i="6"/>
  <c r="C42" i="17"/>
  <c r="J6" i="17"/>
  <c r="R6" i="20"/>
  <c r="P6" i="20"/>
  <c r="N6" i="20"/>
  <c r="O6" i="20"/>
  <c r="M6" i="20"/>
  <c r="Q6" i="20"/>
  <c r="S6" i="20"/>
  <c r="C11" i="13"/>
  <c r="C14" i="13"/>
  <c r="C6" i="13"/>
  <c r="C15" i="13"/>
  <c r="C12" i="13"/>
  <c r="C18" i="13"/>
  <c r="C5" i="13"/>
  <c r="C9" i="13"/>
  <c r="C13" i="13"/>
  <c r="C3" i="13"/>
  <c r="C7" i="13"/>
  <c r="C10" i="13"/>
  <c r="C4" i="13"/>
  <c r="C8" i="13"/>
  <c r="C17" i="13"/>
  <c r="C16" i="13"/>
  <c r="S55" i="19"/>
  <c r="P55" i="19"/>
  <c r="N55" i="19"/>
  <c r="Q55" i="19"/>
  <c r="R55" i="19"/>
  <c r="O55" i="19"/>
  <c r="M55" i="19"/>
  <c r="N78" i="18"/>
  <c r="N76" i="18"/>
  <c r="N104" i="18" s="1"/>
  <c r="C6" i="6"/>
  <c r="C5" i="6"/>
  <c r="C4" i="6"/>
  <c r="B4" i="5"/>
  <c r="D4" i="6" s="1"/>
  <c r="C53" i="5"/>
  <c r="C52" i="5"/>
  <c r="Q6" i="19"/>
  <c r="O6" i="19"/>
  <c r="S6" i="19"/>
  <c r="P6" i="19"/>
  <c r="M6" i="19"/>
  <c r="R6" i="19"/>
  <c r="N6" i="19"/>
  <c r="G8" i="13"/>
  <c r="G11" i="13"/>
  <c r="G18" i="13"/>
  <c r="B8" i="15"/>
  <c r="B7" i="15" s="1"/>
  <c r="G10" i="13"/>
  <c r="G5" i="13"/>
  <c r="G4" i="13"/>
  <c r="G15" i="13"/>
  <c r="G7" i="13"/>
  <c r="G6" i="13"/>
  <c r="G9" i="13"/>
  <c r="G3" i="13"/>
  <c r="G13" i="13"/>
  <c r="G14" i="13"/>
  <c r="G12" i="13"/>
  <c r="G17" i="13"/>
  <c r="J6" i="11"/>
  <c r="C42" i="11"/>
  <c r="G16" i="13"/>
  <c r="B2" i="15"/>
  <c r="B27" i="1" l="1"/>
  <c r="P76" i="18"/>
  <c r="P104" i="18" s="1"/>
  <c r="B22" i="1"/>
  <c r="C51" i="16"/>
  <c r="C53" i="16"/>
  <c r="B57" i="1"/>
  <c r="F76" i="18"/>
  <c r="F104" i="18" s="1"/>
  <c r="B52" i="1"/>
  <c r="B5" i="16"/>
  <c r="C54" i="13"/>
  <c r="C56" i="13"/>
  <c r="C57" i="13"/>
  <c r="C55" i="13"/>
  <c r="C65" i="13"/>
  <c r="C68" i="13"/>
  <c r="C60" i="13"/>
  <c r="C63" i="13"/>
  <c r="C66" i="13"/>
  <c r="C58" i="13"/>
  <c r="C64" i="13"/>
  <c r="C61" i="13"/>
  <c r="C59" i="13"/>
  <c r="C67" i="13"/>
  <c r="C69" i="13"/>
  <c r="C62" i="13"/>
  <c r="B43" i="1"/>
  <c r="D76" i="18"/>
  <c r="D104" i="18" s="1"/>
  <c r="B4" i="16"/>
  <c r="B38" i="1"/>
  <c r="G55" i="13"/>
  <c r="G67" i="13"/>
  <c r="G61" i="13"/>
  <c r="G69" i="13"/>
  <c r="G58" i="13"/>
  <c r="G68" i="13"/>
  <c r="G56" i="13"/>
  <c r="G62" i="13"/>
  <c r="G65" i="13"/>
  <c r="G59" i="13"/>
  <c r="G57" i="13"/>
  <c r="G60" i="13"/>
  <c r="G66" i="13"/>
  <c r="G64" i="13"/>
  <c r="G63" i="13"/>
  <c r="C8" i="15"/>
  <c r="C7" i="15" s="1"/>
  <c r="C14" i="15" s="1"/>
  <c r="C16" i="15" s="1"/>
  <c r="C18" i="15" s="1"/>
  <c r="C22" i="15" s="1"/>
  <c r="B5" i="5"/>
  <c r="G52" i="5" s="1"/>
  <c r="B14" i="15"/>
  <c r="B16" i="15" s="1"/>
  <c r="B18" i="15" s="1"/>
  <c r="B22" i="15" s="1"/>
  <c r="G51" i="5"/>
  <c r="B62" i="5"/>
  <c r="C5" i="19" s="1"/>
  <c r="Q6" i="17"/>
  <c r="O6" i="17"/>
  <c r="P6" i="17"/>
  <c r="S6" i="17"/>
  <c r="N6" i="17"/>
  <c r="R6" i="17"/>
  <c r="M6" i="17"/>
  <c r="P6" i="11"/>
  <c r="R6" i="11"/>
  <c r="Q6" i="11"/>
  <c r="O6" i="11"/>
  <c r="S6" i="11"/>
  <c r="M6" i="11"/>
  <c r="N6" i="11"/>
  <c r="F4" i="6"/>
  <c r="D5" i="6" l="1"/>
  <c r="F5" i="6" s="1"/>
  <c r="G5" i="6" s="1"/>
  <c r="B6" i="5"/>
  <c r="B43" i="5" s="1"/>
  <c r="K52" i="5" s="1"/>
  <c r="L52" i="5" s="1"/>
  <c r="C54" i="19"/>
  <c r="G54" i="19" s="1"/>
  <c r="G57" i="19" s="1"/>
  <c r="C6" i="17"/>
  <c r="C54" i="20"/>
  <c r="G52" i="16"/>
  <c r="F78" i="18"/>
  <c r="B61" i="16"/>
  <c r="D12" i="6"/>
  <c r="F12" i="6" s="1"/>
  <c r="G12" i="6" s="1"/>
  <c r="B63" i="5"/>
  <c r="C6" i="11" s="1"/>
  <c r="B60" i="16"/>
  <c r="G51" i="16"/>
  <c r="C5" i="17"/>
  <c r="D78" i="18"/>
  <c r="C5" i="20"/>
  <c r="D11" i="6"/>
  <c r="B6" i="16"/>
  <c r="C5" i="11"/>
  <c r="E5" i="11" s="1"/>
  <c r="B64" i="5"/>
  <c r="G53" i="5"/>
  <c r="H51" i="5" s="1"/>
  <c r="E62" i="5"/>
  <c r="U51" i="5" s="1"/>
  <c r="C62" i="5"/>
  <c r="N88" i="18" s="1"/>
  <c r="N90" i="18" s="1"/>
  <c r="E63" i="5"/>
  <c r="C63" i="5"/>
  <c r="E54" i="19"/>
  <c r="E57" i="19" s="1"/>
  <c r="E5" i="19"/>
  <c r="E8" i="19" s="1"/>
  <c r="G5" i="19"/>
  <c r="G8" i="19" s="1"/>
  <c r="C8" i="19"/>
  <c r="G4" i="6"/>
  <c r="N110" i="18"/>
  <c r="G53" i="16" l="1"/>
  <c r="H52" i="16" s="1"/>
  <c r="B8" i="7"/>
  <c r="B10" i="7" s="1"/>
  <c r="B34" i="7" s="1"/>
  <c r="B43" i="7" s="1"/>
  <c r="B45" i="7" s="1"/>
  <c r="G5" i="11"/>
  <c r="B40" i="5"/>
  <c r="D51" i="5" s="1"/>
  <c r="E51" i="5" s="1"/>
  <c r="I51" i="5" s="1"/>
  <c r="C57" i="19"/>
  <c r="D57" i="19" s="1"/>
  <c r="B30" i="5"/>
  <c r="C33" i="11" s="1"/>
  <c r="C35" i="11" s="1"/>
  <c r="F6" i="6"/>
  <c r="G6" i="6" s="1"/>
  <c r="P110" i="18"/>
  <c r="D6" i="6"/>
  <c r="E4" i="6" s="1"/>
  <c r="B46" i="5"/>
  <c r="R51" i="5" s="1"/>
  <c r="S51" i="5" s="1"/>
  <c r="N92" i="18" s="1"/>
  <c r="N94" i="18" s="1"/>
  <c r="C4" i="5"/>
  <c r="C6" i="5"/>
  <c r="C5" i="5"/>
  <c r="F110" i="18"/>
  <c r="G54" i="20"/>
  <c r="G57" i="20" s="1"/>
  <c r="C57" i="20"/>
  <c r="E54" i="20"/>
  <c r="E57" i="20" s="1"/>
  <c r="E6" i="17"/>
  <c r="G6" i="17"/>
  <c r="C61" i="16"/>
  <c r="N52" i="16" s="1"/>
  <c r="F88" i="18" s="1"/>
  <c r="F90" i="18" s="1"/>
  <c r="E61" i="16"/>
  <c r="U52" i="16" s="1"/>
  <c r="F96" i="18" s="1"/>
  <c r="F98" i="18" s="1"/>
  <c r="H53" i="16"/>
  <c r="H51" i="16"/>
  <c r="N96" i="18"/>
  <c r="N98" i="18" s="1"/>
  <c r="C5" i="16"/>
  <c r="B30" i="16"/>
  <c r="C33" i="17" s="1"/>
  <c r="C35" i="17" s="1"/>
  <c r="B38" i="16"/>
  <c r="C6" i="16"/>
  <c r="B42" i="16"/>
  <c r="B58" i="7"/>
  <c r="B46" i="16"/>
  <c r="C60" i="16"/>
  <c r="E60" i="16"/>
  <c r="B62" i="16"/>
  <c r="F11" i="6"/>
  <c r="D13" i="6"/>
  <c r="E5" i="17"/>
  <c r="G5" i="17"/>
  <c r="C8" i="17"/>
  <c r="C4" i="16"/>
  <c r="E5" i="20"/>
  <c r="E8" i="20" s="1"/>
  <c r="C8" i="20"/>
  <c r="G5" i="20"/>
  <c r="G8" i="20" s="1"/>
  <c r="K51" i="5"/>
  <c r="L51" i="5" s="1"/>
  <c r="N84" i="18" s="1"/>
  <c r="N86" i="18" s="1"/>
  <c r="C8" i="11"/>
  <c r="E64" i="5"/>
  <c r="H53" i="5"/>
  <c r="H52" i="5"/>
  <c r="C64" i="5"/>
  <c r="F8" i="19"/>
  <c r="N51" i="5"/>
  <c r="E6" i="11"/>
  <c r="E8" i="11" s="1"/>
  <c r="G6" i="11"/>
  <c r="P88" i="18"/>
  <c r="P90" i="18" s="1"/>
  <c r="N52" i="5"/>
  <c r="P52" i="5" s="1"/>
  <c r="P102" i="18" s="1"/>
  <c r="U52" i="5"/>
  <c r="P96" i="18"/>
  <c r="P98" i="18" s="1"/>
  <c r="F57" i="19"/>
  <c r="D8" i="19"/>
  <c r="P84" i="18"/>
  <c r="P86" i="18" s="1"/>
  <c r="F8" i="20" l="1"/>
  <c r="E8" i="17"/>
  <c r="G8" i="11"/>
  <c r="F8" i="11" s="1"/>
  <c r="D52" i="5"/>
  <c r="E52" i="5" s="1"/>
  <c r="P80" i="18" s="1"/>
  <c r="P82" i="18" s="1"/>
  <c r="N80" i="18"/>
  <c r="N82" i="18" s="1"/>
  <c r="B60" i="7"/>
  <c r="B84" i="7" s="1"/>
  <c r="B93" i="7" s="1"/>
  <c r="B46" i="7"/>
  <c r="B23" i="15" s="1"/>
  <c r="B24" i="15" s="1"/>
  <c r="L53" i="5"/>
  <c r="M52" i="5" s="1"/>
  <c r="E5" i="6"/>
  <c r="P51" i="5"/>
  <c r="P53" i="5" s="1"/>
  <c r="Q53" i="5" s="1"/>
  <c r="E6" i="6"/>
  <c r="W51" i="5"/>
  <c r="N100" i="18" s="1"/>
  <c r="R52" i="5"/>
  <c r="S52" i="5" s="1"/>
  <c r="P92" i="18" s="1"/>
  <c r="P94" i="18" s="1"/>
  <c r="G8" i="17"/>
  <c r="F8" i="17" s="1"/>
  <c r="D57" i="20"/>
  <c r="F57" i="20"/>
  <c r="D8" i="20"/>
  <c r="K52" i="16"/>
  <c r="L52" i="16" s="1"/>
  <c r="K51" i="16"/>
  <c r="L51" i="16" s="1"/>
  <c r="G33" i="17"/>
  <c r="U51" i="16"/>
  <c r="E62" i="16"/>
  <c r="D8" i="17"/>
  <c r="E33" i="17"/>
  <c r="N51" i="16"/>
  <c r="C62" i="16"/>
  <c r="E12" i="6"/>
  <c r="E13" i="6"/>
  <c r="G11" i="6"/>
  <c r="D110" i="18"/>
  <c r="F13" i="6"/>
  <c r="G13" i="6" s="1"/>
  <c r="D52" i="16"/>
  <c r="E52" i="16" s="1"/>
  <c r="D51" i="16"/>
  <c r="E51" i="16" s="1"/>
  <c r="E11" i="6"/>
  <c r="R51" i="16"/>
  <c r="S51" i="16" s="1"/>
  <c r="R52" i="16"/>
  <c r="S52" i="16" s="1"/>
  <c r="D8" i="11"/>
  <c r="U53" i="5"/>
  <c r="E33" i="11"/>
  <c r="M3" i="11" s="1"/>
  <c r="G33" i="11"/>
  <c r="F33" i="11" s="1"/>
  <c r="N53" i="5"/>
  <c r="N72" i="18"/>
  <c r="N74" i="18" s="1"/>
  <c r="I52" i="5" l="1"/>
  <c r="P72" i="18" s="1"/>
  <c r="P74" i="18" s="1"/>
  <c r="E53" i="5"/>
  <c r="F51" i="5" s="1"/>
  <c r="C15" i="19" s="1"/>
  <c r="B95" i="7"/>
  <c r="B96" i="7"/>
  <c r="B48" i="7"/>
  <c r="M51" i="5"/>
  <c r="M53" i="5"/>
  <c r="N102" i="18"/>
  <c r="Y51" i="5"/>
  <c r="N106" i="18" s="1"/>
  <c r="N108" i="18" s="1"/>
  <c r="S53" i="5"/>
  <c r="T51" i="5" s="1"/>
  <c r="W52" i="5"/>
  <c r="P100" i="18" s="1"/>
  <c r="B98" i="7"/>
  <c r="F92" i="18"/>
  <c r="F94" i="18" s="1"/>
  <c r="W52" i="16"/>
  <c r="D88" i="18"/>
  <c r="D90" i="18" s="1"/>
  <c r="N53" i="16"/>
  <c r="C38" i="17"/>
  <c r="J4" i="17" s="1"/>
  <c r="F33" i="17"/>
  <c r="C37" i="17"/>
  <c r="D92" i="18"/>
  <c r="D94" i="18" s="1"/>
  <c r="S53" i="16"/>
  <c r="W51" i="16"/>
  <c r="M3" i="17"/>
  <c r="C36" i="17"/>
  <c r="D33" i="17"/>
  <c r="D84" i="18"/>
  <c r="D86" i="18" s="1"/>
  <c r="L53" i="16"/>
  <c r="M52" i="16" s="1"/>
  <c r="P51" i="16"/>
  <c r="D102" i="18" s="1"/>
  <c r="P52" i="16"/>
  <c r="F102" i="18" s="1"/>
  <c r="F84" i="18"/>
  <c r="F86" i="18" s="1"/>
  <c r="D80" i="18"/>
  <c r="D82" i="18" s="1"/>
  <c r="I51" i="16"/>
  <c r="E53" i="16"/>
  <c r="F51" i="16" s="1"/>
  <c r="F80" i="18"/>
  <c r="F82" i="18" s="1"/>
  <c r="I52" i="16"/>
  <c r="F72" i="18" s="1"/>
  <c r="F74" i="18" s="1"/>
  <c r="D96" i="18"/>
  <c r="D98" i="18" s="1"/>
  <c r="U53" i="16"/>
  <c r="F53" i="5"/>
  <c r="T52" i="5"/>
  <c r="D33" i="11"/>
  <c r="V52" i="5"/>
  <c r="C36" i="11"/>
  <c r="V53" i="5"/>
  <c r="V51" i="5"/>
  <c r="C38" i="11"/>
  <c r="J4" i="11" s="1"/>
  <c r="M4" i="11" s="1"/>
  <c r="M5" i="11" s="1"/>
  <c r="O53" i="5"/>
  <c r="O51" i="5"/>
  <c r="C37" i="11"/>
  <c r="O52" i="5"/>
  <c r="Q51" i="5"/>
  <c r="Q52" i="5"/>
  <c r="L3" i="11"/>
  <c r="L5" i="11" s="1"/>
  <c r="N3" i="11"/>
  <c r="C29" i="19"/>
  <c r="C23" i="19"/>
  <c r="C12" i="19" l="1"/>
  <c r="E12" i="19" s="1"/>
  <c r="C19" i="19"/>
  <c r="C14" i="19"/>
  <c r="C20" i="19"/>
  <c r="E20" i="19" s="1"/>
  <c r="C24" i="19"/>
  <c r="C30" i="19"/>
  <c r="G30" i="19" s="1"/>
  <c r="C18" i="19"/>
  <c r="G18" i="19" s="1"/>
  <c r="C28" i="19"/>
  <c r="E28" i="19" s="1"/>
  <c r="C11" i="19"/>
  <c r="C17" i="19"/>
  <c r="I53" i="5"/>
  <c r="J52" i="5" s="1"/>
  <c r="C23" i="15"/>
  <c r="C24" i="15" s="1"/>
  <c r="C21" i="19"/>
  <c r="G21" i="19" s="1"/>
  <c r="C16" i="19"/>
  <c r="G16" i="19" s="1"/>
  <c r="C27" i="19"/>
  <c r="G27" i="19" s="1"/>
  <c r="C13" i="19"/>
  <c r="C25" i="19"/>
  <c r="G25" i="19" s="1"/>
  <c r="F52" i="5"/>
  <c r="C69" i="19" s="1"/>
  <c r="G69" i="19" s="1"/>
  <c r="C22" i="19"/>
  <c r="G22" i="19" s="1"/>
  <c r="C26" i="19"/>
  <c r="G26" i="19" s="1"/>
  <c r="C45" i="11"/>
  <c r="E46" i="11" s="1"/>
  <c r="D46" i="11"/>
  <c r="C45" i="17"/>
  <c r="E46" i="17" s="1"/>
  <c r="D46" i="17"/>
  <c r="AA51" i="5"/>
  <c r="N112" i="18" s="1"/>
  <c r="Y52" i="5"/>
  <c r="P106" i="18" s="1"/>
  <c r="P108" i="18" s="1"/>
  <c r="T53" i="5"/>
  <c r="W53" i="5"/>
  <c r="C15" i="20"/>
  <c r="E15" i="20" s="1"/>
  <c r="C17" i="20"/>
  <c r="E17" i="20" s="1"/>
  <c r="C23" i="20"/>
  <c r="G23" i="20" s="1"/>
  <c r="C30" i="20"/>
  <c r="G30" i="20" s="1"/>
  <c r="C11" i="20"/>
  <c r="E11" i="20" s="1"/>
  <c r="C24" i="20"/>
  <c r="G24" i="20" s="1"/>
  <c r="C21" i="20"/>
  <c r="G21" i="20" s="1"/>
  <c r="Y51" i="16"/>
  <c r="D100" i="18"/>
  <c r="C20" i="20"/>
  <c r="E20" i="20" s="1"/>
  <c r="V52" i="16"/>
  <c r="V53" i="16"/>
  <c r="V51" i="16"/>
  <c r="F53" i="16"/>
  <c r="F52" i="16"/>
  <c r="M51" i="16"/>
  <c r="M53" i="16"/>
  <c r="P53" i="16"/>
  <c r="Q53" i="16" s="1"/>
  <c r="T51" i="16"/>
  <c r="T53" i="16"/>
  <c r="W53" i="16"/>
  <c r="O52" i="16"/>
  <c r="O51" i="16"/>
  <c r="O53" i="16"/>
  <c r="C13" i="20"/>
  <c r="C14" i="20"/>
  <c r="E14" i="20" s="1"/>
  <c r="C19" i="20"/>
  <c r="G19" i="20" s="1"/>
  <c r="D72" i="18"/>
  <c r="D74" i="18" s="1"/>
  <c r="I53" i="16"/>
  <c r="N3" i="17"/>
  <c r="L3" i="17"/>
  <c r="L5" i="17" s="1"/>
  <c r="C28" i="20"/>
  <c r="E28" i="20" s="1"/>
  <c r="T52" i="16"/>
  <c r="Y52" i="16"/>
  <c r="F100" i="18"/>
  <c r="P4" i="17"/>
  <c r="M4" i="17"/>
  <c r="M5" i="17" s="1"/>
  <c r="R4" i="17"/>
  <c r="Q4" i="17"/>
  <c r="N4" i="17"/>
  <c r="O4" i="17"/>
  <c r="S4" i="17"/>
  <c r="C16" i="20"/>
  <c r="E16" i="20" s="1"/>
  <c r="C12" i="20"/>
  <c r="G12" i="20" s="1"/>
  <c r="C22" i="20"/>
  <c r="E22" i="20" s="1"/>
  <c r="C27" i="20"/>
  <c r="G27" i="20" s="1"/>
  <c r="C26" i="20"/>
  <c r="G26" i="20" s="1"/>
  <c r="C29" i="20"/>
  <c r="E29" i="20" s="1"/>
  <c r="C25" i="20"/>
  <c r="E25" i="20" s="1"/>
  <c r="C18" i="20"/>
  <c r="G18" i="20" s="1"/>
  <c r="C43" i="17"/>
  <c r="D47" i="17" s="1"/>
  <c r="C44" i="17"/>
  <c r="C47" i="17" s="1"/>
  <c r="C44" i="11"/>
  <c r="C47" i="11" s="1"/>
  <c r="C43" i="11"/>
  <c r="D47" i="11" s="1"/>
  <c r="Q4" i="11"/>
  <c r="S4" i="11"/>
  <c r="O4" i="11"/>
  <c r="P4" i="11"/>
  <c r="N4" i="11"/>
  <c r="N5" i="11" s="1"/>
  <c r="R4" i="11"/>
  <c r="G28" i="19"/>
  <c r="E11" i="19"/>
  <c r="G11" i="19"/>
  <c r="E21" i="19"/>
  <c r="E13" i="19"/>
  <c r="G13" i="19"/>
  <c r="E25" i="19"/>
  <c r="O3" i="11"/>
  <c r="G20" i="19"/>
  <c r="E29" i="19"/>
  <c r="G29" i="19"/>
  <c r="G24" i="19"/>
  <c r="E24" i="19"/>
  <c r="E30" i="19"/>
  <c r="E19" i="19"/>
  <c r="G19" i="19"/>
  <c r="E23" i="19"/>
  <c r="G23" i="19"/>
  <c r="G14" i="19"/>
  <c r="E14" i="19"/>
  <c r="G17" i="19"/>
  <c r="E17" i="19"/>
  <c r="E15" i="19"/>
  <c r="G15" i="19"/>
  <c r="E27" i="19" l="1"/>
  <c r="E18" i="19"/>
  <c r="AB51" i="5"/>
  <c r="E26" i="19"/>
  <c r="G12" i="19"/>
  <c r="E22" i="19"/>
  <c r="E31" i="19" s="1"/>
  <c r="E33" i="19" s="1"/>
  <c r="J53" i="5"/>
  <c r="J51" i="5"/>
  <c r="E69" i="19"/>
  <c r="C71" i="19"/>
  <c r="G71" i="19" s="1"/>
  <c r="C62" i="19"/>
  <c r="G62" i="19" s="1"/>
  <c r="C74" i="19"/>
  <c r="G74" i="19" s="1"/>
  <c r="C65" i="19"/>
  <c r="E65" i="19" s="1"/>
  <c r="C61" i="19"/>
  <c r="E61" i="19" s="1"/>
  <c r="C64" i="19"/>
  <c r="E64" i="19" s="1"/>
  <c r="C67" i="19"/>
  <c r="G67" i="19" s="1"/>
  <c r="C31" i="19"/>
  <c r="C33" i="19" s="1"/>
  <c r="C35" i="19" s="1"/>
  <c r="C78" i="19"/>
  <c r="G78" i="19" s="1"/>
  <c r="C68" i="19"/>
  <c r="E68" i="19" s="1"/>
  <c r="C66" i="19"/>
  <c r="G66" i="19" s="1"/>
  <c r="C79" i="19"/>
  <c r="E79" i="19" s="1"/>
  <c r="C77" i="19"/>
  <c r="G77" i="19" s="1"/>
  <c r="C46" i="11"/>
  <c r="C76" i="19"/>
  <c r="G76" i="19" s="1"/>
  <c r="C73" i="19"/>
  <c r="G73" i="19" s="1"/>
  <c r="C60" i="19"/>
  <c r="E60" i="19" s="1"/>
  <c r="C72" i="19"/>
  <c r="E16" i="19"/>
  <c r="C75" i="19"/>
  <c r="G75" i="19" s="1"/>
  <c r="C70" i="19"/>
  <c r="E70" i="19" s="1"/>
  <c r="C63" i="19"/>
  <c r="E63" i="19" s="1"/>
  <c r="C46" i="17"/>
  <c r="E24" i="20"/>
  <c r="AA52" i="5"/>
  <c r="Y53" i="5"/>
  <c r="X51" i="5"/>
  <c r="X53" i="5"/>
  <c r="X52" i="5"/>
  <c r="G15" i="20"/>
  <c r="G29" i="20"/>
  <c r="E21" i="20"/>
  <c r="G16" i="20"/>
  <c r="G20" i="20"/>
  <c r="E19" i="20"/>
  <c r="E30" i="20"/>
  <c r="G14" i="20"/>
  <c r="G17" i="20"/>
  <c r="G25" i="20"/>
  <c r="E26" i="20"/>
  <c r="E18" i="20"/>
  <c r="E27" i="20"/>
  <c r="G11" i="20"/>
  <c r="C31" i="20"/>
  <c r="C33" i="20" s="1"/>
  <c r="C35" i="20" s="1"/>
  <c r="E12" i="20"/>
  <c r="G22" i="20"/>
  <c r="G28" i="20"/>
  <c r="E23" i="20"/>
  <c r="G13" i="20"/>
  <c r="Q52" i="16"/>
  <c r="E13" i="20"/>
  <c r="Q51" i="16"/>
  <c r="J53" i="16"/>
  <c r="J51" i="16"/>
  <c r="J52" i="16"/>
  <c r="X52" i="16"/>
  <c r="X51" i="16"/>
  <c r="Y53" i="16"/>
  <c r="X53" i="16"/>
  <c r="C68" i="20"/>
  <c r="C75" i="20"/>
  <c r="C66" i="20"/>
  <c r="C73" i="20"/>
  <c r="C69" i="20"/>
  <c r="C72" i="20"/>
  <c r="C63" i="20"/>
  <c r="C65" i="20"/>
  <c r="C79" i="20"/>
  <c r="C64" i="20"/>
  <c r="C78" i="20"/>
  <c r="C62" i="20"/>
  <c r="C71" i="20"/>
  <c r="C70" i="20"/>
  <c r="C76" i="20"/>
  <c r="C60" i="20"/>
  <c r="C74" i="20"/>
  <c r="C61" i="20"/>
  <c r="C77" i="20"/>
  <c r="C67" i="20"/>
  <c r="F106" i="18"/>
  <c r="F108" i="18" s="1"/>
  <c r="AA52" i="16"/>
  <c r="O3" i="17"/>
  <c r="N5" i="17"/>
  <c r="AA51" i="16"/>
  <c r="D106" i="18"/>
  <c r="D108" i="18" s="1"/>
  <c r="E67" i="19"/>
  <c r="E77" i="19"/>
  <c r="P3" i="11"/>
  <c r="O5" i="11"/>
  <c r="G31" i="19"/>
  <c r="G33" i="19" s="1"/>
  <c r="E71" i="19" l="1"/>
  <c r="G61" i="19"/>
  <c r="G64" i="19"/>
  <c r="E78" i="19"/>
  <c r="G65" i="19"/>
  <c r="E74" i="19"/>
  <c r="G70" i="19"/>
  <c r="G68" i="19"/>
  <c r="E73" i="19"/>
  <c r="G79" i="19"/>
  <c r="G60" i="19"/>
  <c r="E66" i="19"/>
  <c r="E62" i="19"/>
  <c r="E75" i="19"/>
  <c r="G63" i="19"/>
  <c r="G80" i="19" s="1"/>
  <c r="G82" i="19" s="1"/>
  <c r="C86" i="19" s="1"/>
  <c r="C94" i="19" s="1"/>
  <c r="C80" i="19"/>
  <c r="C82" i="19" s="1"/>
  <c r="C84" i="19" s="1"/>
  <c r="E76" i="19"/>
  <c r="E72" i="19"/>
  <c r="G72" i="19"/>
  <c r="P112" i="18"/>
  <c r="AB52" i="5"/>
  <c r="Z53" i="5"/>
  <c r="Z51" i="5"/>
  <c r="Z52" i="5"/>
  <c r="AA53" i="5"/>
  <c r="G31" i="20"/>
  <c r="G33" i="20" s="1"/>
  <c r="C37" i="20" s="1"/>
  <c r="C45" i="20" s="1"/>
  <c r="E31" i="20"/>
  <c r="E33" i="20" s="1"/>
  <c r="D33" i="20" s="1"/>
  <c r="E76" i="20"/>
  <c r="G76" i="20"/>
  <c r="G61" i="20"/>
  <c r="E61" i="20"/>
  <c r="E62" i="20"/>
  <c r="G62" i="20"/>
  <c r="G72" i="20"/>
  <c r="E72" i="20"/>
  <c r="O5" i="17"/>
  <c r="P3" i="17"/>
  <c r="E74" i="20"/>
  <c r="G74" i="20"/>
  <c r="E78" i="20"/>
  <c r="G78" i="20"/>
  <c r="E69" i="20"/>
  <c r="G69" i="20"/>
  <c r="Z51" i="16"/>
  <c r="Z53" i="16"/>
  <c r="AA53" i="16"/>
  <c r="AB52" i="16"/>
  <c r="F112" i="18"/>
  <c r="E60" i="20"/>
  <c r="G60" i="20"/>
  <c r="C80" i="20"/>
  <c r="C82" i="20" s="1"/>
  <c r="C84" i="20" s="1"/>
  <c r="G64" i="20"/>
  <c r="E64" i="20"/>
  <c r="E73" i="20"/>
  <c r="G73" i="20"/>
  <c r="G79" i="20"/>
  <c r="E79" i="20"/>
  <c r="G66" i="20"/>
  <c r="E66" i="20"/>
  <c r="E67" i="20"/>
  <c r="G67" i="20"/>
  <c r="E70" i="20"/>
  <c r="G70" i="20"/>
  <c r="E65" i="20"/>
  <c r="G65" i="20"/>
  <c r="E75" i="20"/>
  <c r="G75" i="20"/>
  <c r="AB51" i="16"/>
  <c r="D112" i="18"/>
  <c r="G77" i="20"/>
  <c r="E77" i="20"/>
  <c r="E71" i="20"/>
  <c r="G71" i="20"/>
  <c r="E63" i="20"/>
  <c r="G63" i="20"/>
  <c r="E68" i="20"/>
  <c r="G68" i="20"/>
  <c r="Z52" i="16"/>
  <c r="C38" i="19"/>
  <c r="J4" i="19" s="1"/>
  <c r="F33" i="19"/>
  <c r="C37" i="19"/>
  <c r="C45" i="19" s="1"/>
  <c r="Q3" i="11"/>
  <c r="P5" i="11"/>
  <c r="D33" i="19"/>
  <c r="M3" i="19"/>
  <c r="C36" i="19"/>
  <c r="E80" i="19" l="1"/>
  <c r="E82" i="19" s="1"/>
  <c r="M52" i="19" s="1"/>
  <c r="N52" i="19" s="1"/>
  <c r="AC52" i="5"/>
  <c r="AC53" i="5"/>
  <c r="AB53" i="5"/>
  <c r="AC51" i="5"/>
  <c r="C36" i="20"/>
  <c r="C43" i="20" s="1"/>
  <c r="D114" i="18" s="1"/>
  <c r="M3" i="20"/>
  <c r="N3" i="20" s="1"/>
  <c r="C38" i="20"/>
  <c r="J4" i="20" s="1"/>
  <c r="O4" i="20" s="1"/>
  <c r="F33" i="20"/>
  <c r="C87" i="19"/>
  <c r="J53" i="19" s="1"/>
  <c r="P53" i="19" s="1"/>
  <c r="F82" i="19"/>
  <c r="G80" i="20"/>
  <c r="G82" i="20" s="1"/>
  <c r="E80" i="20"/>
  <c r="E82" i="20" s="1"/>
  <c r="Q3" i="17"/>
  <c r="P5" i="17"/>
  <c r="AC52" i="16"/>
  <c r="AC51" i="16"/>
  <c r="AC53" i="16"/>
  <c r="AB53" i="16"/>
  <c r="D82" i="19"/>
  <c r="Q5" i="11"/>
  <c r="R3" i="11"/>
  <c r="L52" i="19"/>
  <c r="L54" i="19" s="1"/>
  <c r="C46" i="19"/>
  <c r="C43" i="19"/>
  <c r="N114" i="18" s="1"/>
  <c r="C44" i="19"/>
  <c r="C47" i="19" s="1"/>
  <c r="N3" i="19"/>
  <c r="L3" i="19"/>
  <c r="L5" i="19" s="1"/>
  <c r="S4" i="19"/>
  <c r="O4" i="19"/>
  <c r="Q4" i="19"/>
  <c r="R4" i="19"/>
  <c r="N4" i="19"/>
  <c r="P4" i="19"/>
  <c r="M4" i="19"/>
  <c r="M5" i="19" s="1"/>
  <c r="C85" i="19" l="1"/>
  <c r="C95" i="19" s="1"/>
  <c r="R53" i="19"/>
  <c r="Q53" i="19"/>
  <c r="M53" i="19"/>
  <c r="M54" i="19" s="1"/>
  <c r="C46" i="20"/>
  <c r="P4" i="20"/>
  <c r="L3" i="20"/>
  <c r="L5" i="20" s="1"/>
  <c r="C44" i="20"/>
  <c r="M4" i="20"/>
  <c r="M5" i="20" s="1"/>
  <c r="R4" i="20"/>
  <c r="N4" i="20"/>
  <c r="N5" i="20" s="1"/>
  <c r="Q4" i="20"/>
  <c r="S4" i="20"/>
  <c r="O53" i="19"/>
  <c r="N53" i="19"/>
  <c r="N54" i="19" s="1"/>
  <c r="S53" i="19"/>
  <c r="R3" i="17"/>
  <c r="Q5" i="17"/>
  <c r="D82" i="20"/>
  <c r="C85" i="20"/>
  <c r="M52" i="20"/>
  <c r="C86" i="20"/>
  <c r="C94" i="20" s="1"/>
  <c r="F82" i="20"/>
  <c r="C87" i="20"/>
  <c r="J53" i="20" s="1"/>
  <c r="O3" i="20"/>
  <c r="N5" i="19"/>
  <c r="O3" i="19"/>
  <c r="O52" i="19"/>
  <c r="S3" i="11"/>
  <c r="S5" i="11" s="1"/>
  <c r="R5" i="11"/>
  <c r="N118" i="18"/>
  <c r="N116" i="18"/>
  <c r="C93" i="19" l="1"/>
  <c r="P116" i="18" s="1"/>
  <c r="C92" i="19"/>
  <c r="P114" i="18" s="1"/>
  <c r="D116" i="18"/>
  <c r="C47" i="20"/>
  <c r="D118" i="18" s="1"/>
  <c r="C95" i="20"/>
  <c r="C93" i="20"/>
  <c r="C96" i="20" s="1"/>
  <c r="C92" i="20"/>
  <c r="F114" i="18" s="1"/>
  <c r="N53" i="20"/>
  <c r="R53" i="20"/>
  <c r="O53" i="20"/>
  <c r="P53" i="20"/>
  <c r="Q53" i="20"/>
  <c r="S53" i="20"/>
  <c r="M53" i="20"/>
  <c r="M54" i="20" s="1"/>
  <c r="R5" i="17"/>
  <c r="S3" i="17"/>
  <c r="S5" i="17" s="1"/>
  <c r="N52" i="20"/>
  <c r="L52" i="20"/>
  <c r="L54" i="20" s="1"/>
  <c r="O5" i="20"/>
  <c r="P3" i="20"/>
  <c r="O54" i="19"/>
  <c r="P52" i="19"/>
  <c r="P3" i="19"/>
  <c r="O5" i="19"/>
  <c r="C96" i="19" l="1"/>
  <c r="P118" i="18" s="1"/>
  <c r="F118" i="18"/>
  <c r="F116" i="18"/>
  <c r="O52" i="20"/>
  <c r="N54" i="20"/>
  <c r="Q3" i="20"/>
  <c r="P5" i="20"/>
  <c r="Q3" i="19"/>
  <c r="P5" i="19"/>
  <c r="P54" i="19"/>
  <c r="Q52" i="19"/>
  <c r="O54" i="20" l="1"/>
  <c r="P52" i="20"/>
  <c r="Q5" i="20"/>
  <c r="R3" i="20"/>
  <c r="Q54" i="19"/>
  <c r="R52" i="19"/>
  <c r="R3" i="19"/>
  <c r="Q5" i="19"/>
  <c r="Q52" i="20" l="1"/>
  <c r="P54" i="20"/>
  <c r="R5" i="20"/>
  <c r="S3" i="20"/>
  <c r="S5" i="20" s="1"/>
  <c r="R54" i="19"/>
  <c r="S52" i="19"/>
  <c r="S54" i="19" s="1"/>
  <c r="S3" i="19"/>
  <c r="S5" i="19" s="1"/>
  <c r="R5" i="19"/>
  <c r="Q54" i="20" l="1"/>
  <c r="R52" i="20"/>
  <c r="R54" i="20" l="1"/>
  <c r="S52" i="20"/>
  <c r="S54"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Andrea</author>
  </authors>
  <commentList>
    <comment ref="B36" authorId="0" shapeId="0" xr:uid="{00000000-0006-0000-0400-000001000000}">
      <text>
        <r>
          <rPr>
            <b/>
            <sz val="8"/>
            <color indexed="81"/>
            <rFont val="Tahoma"/>
            <family val="2"/>
          </rPr>
          <t xml:space="preserve"> Andrea:</t>
        </r>
        <r>
          <rPr>
            <sz val="8"/>
            <color indexed="81"/>
            <rFont val="Tahoma"/>
            <family val="2"/>
          </rPr>
          <t xml:space="preserve">
Non collegato con altri fogli. NON MODIFICARE</t>
        </r>
      </text>
    </comment>
    <comment ref="B37" authorId="0" shapeId="0" xr:uid="{00000000-0006-0000-0400-000002000000}">
      <text>
        <r>
          <rPr>
            <b/>
            <sz val="8"/>
            <color indexed="81"/>
            <rFont val="Tahoma"/>
            <family val="2"/>
          </rPr>
          <t xml:space="preserve"> Andrea:</t>
        </r>
        <r>
          <rPr>
            <sz val="8"/>
            <color indexed="81"/>
            <rFont val="Tahoma"/>
            <family val="2"/>
          </rPr>
          <t xml:space="preserve">
Non collegato con altre celle.NON MODIFICARE</t>
        </r>
      </text>
    </comment>
    <comment ref="B39" authorId="0" shapeId="0" xr:uid="{00000000-0006-0000-0400-000003000000}">
      <text>
        <r>
          <rPr>
            <b/>
            <sz val="8"/>
            <color indexed="81"/>
            <rFont val="Tahoma"/>
            <family val="2"/>
          </rPr>
          <t xml:space="preserve"> Andrea:</t>
        </r>
        <r>
          <rPr>
            <sz val="8"/>
            <color indexed="81"/>
            <rFont val="Tahoma"/>
            <family val="2"/>
          </rPr>
          <t xml:space="preserve">
Non collegato con altre celle. NON MODIFICARE</t>
        </r>
      </text>
    </comment>
    <comment ref="B40" authorId="0" shapeId="0" xr:uid="{00000000-0006-0000-0400-000004000000}">
      <text>
        <r>
          <rPr>
            <b/>
            <sz val="8"/>
            <color indexed="81"/>
            <rFont val="Tahoma"/>
            <family val="2"/>
          </rPr>
          <t xml:space="preserve"> Andrea:</t>
        </r>
        <r>
          <rPr>
            <sz val="8"/>
            <color indexed="81"/>
            <rFont val="Tahoma"/>
            <family val="2"/>
          </rPr>
          <t xml:space="preserve">
Non collegato con altre celle. NON MODIFICARE</t>
        </r>
      </text>
    </comment>
    <comment ref="B86" authorId="0" shapeId="0" xr:uid="{00000000-0006-0000-0400-000005000000}">
      <text>
        <r>
          <rPr>
            <b/>
            <sz val="8"/>
            <color indexed="81"/>
            <rFont val="Tahoma"/>
            <family val="2"/>
          </rPr>
          <t xml:space="preserve"> Andrea:</t>
        </r>
        <r>
          <rPr>
            <sz val="8"/>
            <color indexed="81"/>
            <rFont val="Tahoma"/>
            <family val="2"/>
          </rPr>
          <t xml:space="preserve">
Non collegato con altre celle. NON MODIFICARE</t>
        </r>
      </text>
    </comment>
    <comment ref="B87" authorId="0" shapeId="0" xr:uid="{00000000-0006-0000-0400-000006000000}">
      <text>
        <r>
          <rPr>
            <b/>
            <sz val="8"/>
            <color indexed="81"/>
            <rFont val="Tahoma"/>
            <family val="2"/>
          </rPr>
          <t xml:space="preserve"> Andrea:</t>
        </r>
        <r>
          <rPr>
            <sz val="8"/>
            <color indexed="81"/>
            <rFont val="Tahoma"/>
            <family val="2"/>
          </rPr>
          <t xml:space="preserve">
Non collegato con altre celle. NON MODIFICARE</t>
        </r>
      </text>
    </comment>
    <comment ref="B89" authorId="0" shapeId="0" xr:uid="{00000000-0006-0000-0400-000007000000}">
      <text>
        <r>
          <rPr>
            <b/>
            <sz val="8"/>
            <color indexed="81"/>
            <rFont val="Tahoma"/>
            <family val="2"/>
          </rPr>
          <t xml:space="preserve"> Andrea:</t>
        </r>
        <r>
          <rPr>
            <sz val="8"/>
            <color indexed="81"/>
            <rFont val="Tahoma"/>
            <family val="2"/>
          </rPr>
          <t xml:space="preserve">
Non collegato con altre celle. NON MODIFICARE</t>
        </r>
      </text>
    </comment>
    <comment ref="B90" authorId="0" shapeId="0" xr:uid="{00000000-0006-0000-0400-000008000000}">
      <text>
        <r>
          <rPr>
            <b/>
            <sz val="8"/>
            <color indexed="81"/>
            <rFont val="Tahoma"/>
            <family val="2"/>
          </rPr>
          <t xml:space="preserve"> Andrea:</t>
        </r>
        <r>
          <rPr>
            <sz val="8"/>
            <color indexed="81"/>
            <rFont val="Tahoma"/>
            <family val="2"/>
          </rPr>
          <t xml:space="preserve">
Non collegato con altre celle. NON MODIFICARE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F7EDDB1B-1111-47F9-BD78-4439A899CC16}">
      <text>
        <r>
          <rPr>
            <b/>
            <sz val="9"/>
            <color indexed="81"/>
            <rFont val="Tahoma"/>
            <family val="2"/>
          </rPr>
          <t>USER:</t>
        </r>
        <r>
          <rPr>
            <sz val="9"/>
            <color indexed="81"/>
            <rFont val="Tahoma"/>
            <family val="2"/>
          </rPr>
          <t xml:space="preserve">
Questa cella non è collegata. NON MODIFICARE</t>
        </r>
      </text>
    </comment>
    <comment ref="B9" authorId="0" shapeId="0" xr:uid="{B871339A-C783-4177-9993-0DEB7EDB84E2}">
      <text>
        <r>
          <rPr>
            <b/>
            <sz val="9"/>
            <color indexed="81"/>
            <rFont val="Tahoma"/>
            <family val="2"/>
          </rPr>
          <t>USER:</t>
        </r>
        <r>
          <rPr>
            <sz val="9"/>
            <color indexed="81"/>
            <rFont val="Tahoma"/>
            <family val="2"/>
          </rPr>
          <t xml:space="preserve">
Questa cella non è collegata. NON MODIFICARE</t>
        </r>
      </text>
    </comment>
    <comment ref="B18" authorId="0" shapeId="0" xr:uid="{F8E69738-02E8-4782-BDB7-1D7151788F21}">
      <text>
        <r>
          <rPr>
            <b/>
            <sz val="9"/>
            <color indexed="81"/>
            <rFont val="Tahoma"/>
            <family val="2"/>
          </rPr>
          <t>USER:</t>
        </r>
        <r>
          <rPr>
            <sz val="9"/>
            <color indexed="81"/>
            <rFont val="Tahoma"/>
            <family val="2"/>
          </rPr>
          <t xml:space="preserve">
Questa cella non è collegata. NON MODIFICARE</t>
        </r>
      </text>
    </comment>
    <comment ref="B22" authorId="0" shapeId="0" xr:uid="{5A146C81-D154-49A2-BB94-13AB09B5717C}">
      <text>
        <r>
          <rPr>
            <b/>
            <sz val="9"/>
            <color indexed="81"/>
            <rFont val="Tahoma"/>
            <family val="2"/>
          </rPr>
          <t>USER:</t>
        </r>
        <r>
          <rPr>
            <sz val="9"/>
            <color indexed="81"/>
            <rFont val="Tahoma"/>
            <family val="2"/>
          </rPr>
          <t xml:space="preserve">
Questa cella non è collegata. NON MODIFICARE</t>
        </r>
      </text>
    </comment>
    <comment ref="B31" authorId="0" shapeId="0" xr:uid="{83C19B79-A60F-4DE1-8696-04550F4A8399}">
      <text>
        <r>
          <rPr>
            <b/>
            <sz val="9"/>
            <color indexed="81"/>
            <rFont val="Tahoma"/>
            <family val="2"/>
          </rPr>
          <t>USER:</t>
        </r>
        <r>
          <rPr>
            <sz val="9"/>
            <color indexed="81"/>
            <rFont val="Tahoma"/>
            <family val="2"/>
          </rPr>
          <t xml:space="preserve">
Questa cella non è collegata. NON MODIFICARE</t>
        </r>
      </text>
    </comment>
    <comment ref="B35" authorId="0" shapeId="0" xr:uid="{C69C68CB-373B-4479-8D6C-8BFDD013224A}">
      <text>
        <r>
          <rPr>
            <b/>
            <sz val="9"/>
            <color indexed="81"/>
            <rFont val="Tahoma"/>
            <family val="2"/>
          </rPr>
          <t>USER:</t>
        </r>
        <r>
          <rPr>
            <sz val="9"/>
            <color indexed="81"/>
            <rFont val="Tahoma"/>
            <family val="2"/>
          </rPr>
          <t xml:space="preserve">
Questa cella non è collegata. NON MODIFICARE</t>
        </r>
      </text>
    </comment>
    <comment ref="B44" authorId="0" shapeId="0" xr:uid="{3B4FA61D-CA29-4BB8-8025-CEC793A3E0A1}">
      <text>
        <r>
          <rPr>
            <b/>
            <sz val="9"/>
            <color indexed="81"/>
            <rFont val="Tahoma"/>
            <family val="2"/>
          </rPr>
          <t>USER:</t>
        </r>
        <r>
          <rPr>
            <sz val="9"/>
            <color indexed="81"/>
            <rFont val="Tahoma"/>
            <family val="2"/>
          </rPr>
          <t xml:space="preserve">
Questa cella non è collegata</t>
        </r>
      </text>
    </comment>
    <comment ref="B48" authorId="0" shapeId="0" xr:uid="{415C6F67-210A-4BEF-928D-B971843CBF18}">
      <text>
        <r>
          <rPr>
            <b/>
            <sz val="9"/>
            <color indexed="81"/>
            <rFont val="Tahoma"/>
            <family val="2"/>
          </rPr>
          <t>USER:</t>
        </r>
        <r>
          <rPr>
            <sz val="9"/>
            <color indexed="81"/>
            <rFont val="Tahoma"/>
            <family val="2"/>
          </rPr>
          <t xml:space="preserve">
Questa cella non è collegata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3" authorId="0" shapeId="0" xr:uid="{0E8867E4-72C9-4831-9D9F-2A19C8A8C0AA}">
      <text>
        <r>
          <rPr>
            <b/>
            <sz val="9"/>
            <color indexed="81"/>
            <rFont val="Tahoma"/>
            <family val="2"/>
          </rPr>
          <t>USER:</t>
        </r>
        <r>
          <rPr>
            <sz val="9"/>
            <color indexed="81"/>
            <rFont val="Tahoma"/>
            <family val="2"/>
          </rPr>
          <t xml:space="preserve">
Da confrontare con "Ricavi di vendita"</t>
        </r>
      </text>
    </comment>
    <comment ref="A44" authorId="0" shapeId="0" xr:uid="{F6DD7B63-8B0E-4A11-91E3-B640852CDC47}">
      <text>
        <r>
          <rPr>
            <b/>
            <sz val="9"/>
            <color indexed="81"/>
            <rFont val="Tahoma"/>
            <family val="2"/>
          </rPr>
          <t>USER:</t>
        </r>
        <r>
          <rPr>
            <sz val="9"/>
            <color indexed="81"/>
            <rFont val="Tahoma"/>
            <family val="2"/>
          </rPr>
          <t xml:space="preserve">
Da confrontare con "Produzione venduta"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92" authorId="0" shapeId="0" xr:uid="{AB8772B0-C5C9-4982-A5AD-DC887AED5196}">
      <text>
        <r>
          <rPr>
            <b/>
            <sz val="9"/>
            <color indexed="81"/>
            <rFont val="Tahoma"/>
            <family val="2"/>
          </rPr>
          <t>USER:</t>
        </r>
        <r>
          <rPr>
            <sz val="9"/>
            <color indexed="81"/>
            <rFont val="Tahoma"/>
            <family val="2"/>
          </rPr>
          <t xml:space="preserve">
Da confrontare con "Ricavi di vendita"</t>
        </r>
      </text>
    </comment>
    <comment ref="A93" authorId="0" shapeId="0" xr:uid="{0D7B8800-6BC5-4B0F-8A91-CDFD76DF697E}">
      <text>
        <r>
          <rPr>
            <b/>
            <sz val="9"/>
            <color indexed="81"/>
            <rFont val="Tahoma"/>
            <family val="2"/>
          </rPr>
          <t>USER:</t>
        </r>
        <r>
          <rPr>
            <sz val="9"/>
            <color indexed="81"/>
            <rFont val="Tahoma"/>
            <family val="2"/>
          </rPr>
          <t xml:space="preserve">
Da confrontare con "Produzione venduta"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3" authorId="0" shapeId="0" xr:uid="{D0C32CC8-4F7F-43A5-ABC2-27AC297D23E7}">
      <text>
        <r>
          <rPr>
            <b/>
            <sz val="9"/>
            <color indexed="81"/>
            <rFont val="Tahoma"/>
            <family val="2"/>
          </rPr>
          <t>USER:</t>
        </r>
        <r>
          <rPr>
            <sz val="9"/>
            <color indexed="81"/>
            <rFont val="Tahoma"/>
            <family val="2"/>
          </rPr>
          <t xml:space="preserve">
Da confrontare con "Ricavi di vendita"</t>
        </r>
      </text>
    </comment>
    <comment ref="A44" authorId="0" shapeId="0" xr:uid="{B6E237F4-74BE-4900-9C0C-00AB64C1CA4A}">
      <text>
        <r>
          <rPr>
            <b/>
            <sz val="9"/>
            <color indexed="81"/>
            <rFont val="Tahoma"/>
            <family val="2"/>
          </rPr>
          <t>USER:</t>
        </r>
        <r>
          <rPr>
            <sz val="9"/>
            <color indexed="81"/>
            <rFont val="Tahoma"/>
            <family val="2"/>
          </rPr>
          <t xml:space="preserve">
Da confrontare con "Produzione venduta"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92" authorId="0" shapeId="0" xr:uid="{FCE98263-555E-44B6-8478-0B092FDD98DD}">
      <text>
        <r>
          <rPr>
            <b/>
            <sz val="9"/>
            <color indexed="81"/>
            <rFont val="Tahoma"/>
            <family val="2"/>
          </rPr>
          <t>USER:</t>
        </r>
        <r>
          <rPr>
            <sz val="9"/>
            <color indexed="81"/>
            <rFont val="Tahoma"/>
            <family val="2"/>
          </rPr>
          <t xml:space="preserve">
Da confrontare con "Ricavi di vendita"</t>
        </r>
      </text>
    </comment>
    <comment ref="A93" authorId="0" shapeId="0" xr:uid="{2C688F60-EDFE-4A40-8F15-F3C6ACD6A01A}">
      <text>
        <r>
          <rPr>
            <b/>
            <sz val="9"/>
            <color indexed="81"/>
            <rFont val="Tahoma"/>
            <family val="2"/>
          </rPr>
          <t>USER:</t>
        </r>
        <r>
          <rPr>
            <sz val="9"/>
            <color indexed="81"/>
            <rFont val="Tahoma"/>
            <family val="2"/>
          </rPr>
          <t xml:space="preserve">
Da confrontare con "Produzione venduta"</t>
        </r>
      </text>
    </comment>
  </commentList>
</comments>
</file>

<file path=xl/sharedStrings.xml><?xml version="1.0" encoding="utf-8"?>
<sst xmlns="http://schemas.openxmlformats.org/spreadsheetml/2006/main" count="1604" uniqueCount="357">
  <si>
    <t>TOTALE RICAVI</t>
  </si>
  <si>
    <t>(euro)</t>
  </si>
  <si>
    <t xml:space="preserve">TOTALE </t>
  </si>
  <si>
    <t>%</t>
  </si>
  <si>
    <t>IRAP (4,25%)</t>
  </si>
  <si>
    <t>Costi indiretti:</t>
  </si>
  <si>
    <t>UTILE NETTO/PERDITA</t>
  </si>
  <si>
    <t>Leva operativa</t>
  </si>
  <si>
    <t xml:space="preserve">COSTI DIRETTI </t>
  </si>
  <si>
    <t xml:space="preserve">COSTI INDIRETTI </t>
  </si>
  <si>
    <t>euro</t>
  </si>
  <si>
    <t>Numero dipendenti</t>
  </si>
  <si>
    <t>Stipendio lordo impiegato</t>
  </si>
  <si>
    <t>Ore settimanali</t>
  </si>
  <si>
    <t>Ore mese</t>
  </si>
  <si>
    <t>Totale ore mese disponibili</t>
  </si>
  <si>
    <t>Totale ore anno disponibili</t>
  </si>
  <si>
    <t>Ore uomo/prodotto</t>
  </si>
  <si>
    <t>Produttività oraria</t>
  </si>
  <si>
    <t>Costo ora/uomo</t>
  </si>
  <si>
    <t>Totale costo mese</t>
  </si>
  <si>
    <t>Ricavi</t>
  </si>
  <si>
    <t>Costi diretti</t>
  </si>
  <si>
    <t>AMMORTAMENTO</t>
  </si>
  <si>
    <t>TOTALE</t>
  </si>
  <si>
    <t>Costi diretti unitari</t>
  </si>
  <si>
    <t>Prezzo unitario</t>
  </si>
  <si>
    <t>COSTI FISSI</t>
  </si>
  <si>
    <t>COSTI VARIABILI</t>
  </si>
  <si>
    <t>COSTI DIRETTI</t>
  </si>
  <si>
    <t>Costi totali</t>
  </si>
  <si>
    <t xml:space="preserve">Costi fissi totali </t>
  </si>
  <si>
    <t>Costi variabili totali</t>
  </si>
  <si>
    <t>Costi variabili unitari</t>
  </si>
  <si>
    <t>Ricavi vendita</t>
  </si>
  <si>
    <t>Prodotti venduti</t>
  </si>
  <si>
    <t>BEP fatturato</t>
  </si>
  <si>
    <t>BEP in volume</t>
  </si>
  <si>
    <t>PERSONALE</t>
  </si>
  <si>
    <t>TELEFONO</t>
  </si>
  <si>
    <t>ALTRE UTENZE</t>
  </si>
  <si>
    <t>PROMOZIONE/PUBBL.</t>
  </si>
  <si>
    <t>VIAGGI</t>
  </si>
  <si>
    <t>FIERE</t>
  </si>
  <si>
    <t>ASSICURAZIONI</t>
  </si>
  <si>
    <t>MATERIALE DI CONSUMO</t>
  </si>
  <si>
    <t>MANUTENZIONE</t>
  </si>
  <si>
    <t>LOCAZIONE IMMOBILE</t>
  </si>
  <si>
    <t>SPESE GENERALI</t>
  </si>
  <si>
    <t>TOTALE COSTI DIRETTI</t>
  </si>
  <si>
    <t>TOTALE COSTI INDIRETTI</t>
  </si>
  <si>
    <t>TOTALE COSTI</t>
  </si>
  <si>
    <t>CVU</t>
  </si>
  <si>
    <t>QUANT.</t>
  </si>
  <si>
    <t>RU</t>
  </si>
  <si>
    <t>QUANTITA'</t>
  </si>
  <si>
    <t>COSTI TOTALI</t>
  </si>
  <si>
    <t>RICAVI</t>
  </si>
  <si>
    <t>RICAVI FINANZIARI</t>
  </si>
  <si>
    <t>ONERI FINANZIARI</t>
  </si>
  <si>
    <t>GESTIONE FINANZIARIA</t>
  </si>
  <si>
    <t>UTILE ANTE IMPOSTE</t>
  </si>
  <si>
    <t>POMODORO</t>
  </si>
  <si>
    <t>Trasporto</t>
  </si>
  <si>
    <t>Assicurazioni</t>
  </si>
  <si>
    <t>Dazi doganali</t>
  </si>
  <si>
    <t>(Sconti)</t>
  </si>
  <si>
    <t>(Recupero imballi)</t>
  </si>
  <si>
    <t>(Abbuoni per differenze qualitative)</t>
  </si>
  <si>
    <t>POLPA</t>
  </si>
  <si>
    <t>Importo fatturato</t>
  </si>
  <si>
    <t>RETAIL</t>
  </si>
  <si>
    <t>CATERING</t>
  </si>
  <si>
    <t>PELATO</t>
  </si>
  <si>
    <t>Personale</t>
  </si>
  <si>
    <t>(Resi)</t>
  </si>
  <si>
    <t>Costo di fattura del pomodoro</t>
  </si>
  <si>
    <t>Imballi (Lattina, Etichetta, Cartone, Plastica, Film)</t>
  </si>
  <si>
    <t>LATTINA</t>
  </si>
  <si>
    <t>ETICHETTA</t>
  </si>
  <si>
    <t xml:space="preserve">PLASTICA DA IMBALLO </t>
  </si>
  <si>
    <t>FILM ESTENSIBILE</t>
  </si>
  <si>
    <t>personale</t>
  </si>
  <si>
    <t>telefono</t>
  </si>
  <si>
    <t>altre utenze</t>
  </si>
  <si>
    <t>promozione/pubblicità</t>
  </si>
  <si>
    <t>viaggi</t>
  </si>
  <si>
    <t>fiere</t>
  </si>
  <si>
    <t>assicurazioni</t>
  </si>
  <si>
    <t>ammortamento</t>
  </si>
  <si>
    <t>manutenzione</t>
  </si>
  <si>
    <t>locazione immobile</t>
  </si>
  <si>
    <t>spese generali</t>
  </si>
  <si>
    <t xml:space="preserve">Ricavi </t>
  </si>
  <si>
    <t>Quota costi indiretti (a*b)</t>
  </si>
  <si>
    <t xml:space="preserve">Costi Diretti </t>
  </si>
  <si>
    <t>Costi complessivi</t>
  </si>
  <si>
    <t xml:space="preserve">Quota Costi Fissi Indiretti (a*h) </t>
  </si>
  <si>
    <t>Costi Fissi Diretti</t>
  </si>
  <si>
    <t>Costi fissi</t>
  </si>
  <si>
    <t>Quota Costi Variabili indiretti(a*i)</t>
  </si>
  <si>
    <t>Costi Variabili diretti</t>
  </si>
  <si>
    <t xml:space="preserve">Costi Variabili </t>
  </si>
  <si>
    <t xml:space="preserve">Margine di Contribuzione Lordo </t>
  </si>
  <si>
    <t xml:space="preserve">Risultato Economico </t>
  </si>
  <si>
    <t>VALORE DELLA PRODUZIONE</t>
  </si>
  <si>
    <t>   di cui RICAVI</t>
  </si>
  <si>
    <t>CONSUMI</t>
  </si>
  <si>
    <t>   di cui ACQUISTI DI MATERIE</t>
  </si>
  <si>
    <t>   di cui SERVIZI</t>
  </si>
  <si>
    <t>   di cui GODIMENTO BENI DI TERZI</t>
  </si>
  <si>
    <t>   di cui ONERI DIVERSI DI GESTIONE</t>
  </si>
  <si>
    <t>VALORE AGGIUNTO</t>
  </si>
  <si>
    <t>COSTI DEL PERSONALE</t>
  </si>
  <si>
    <t>EBITDA (Mol)</t>
  </si>
  <si>
    <t>AMMORTAMENTI E SVALUT.</t>
  </si>
  <si>
    <t>EBIT (Risultato operativo)</t>
  </si>
  <si>
    <t>SALDO PROVENTI/ONERI FINANZIARI</t>
  </si>
  <si>
    <t>RISULTATO ANTE IMPOSTE</t>
  </si>
  <si>
    <t>IMPOSTE DELL'ESERCIZIO</t>
  </si>
  <si>
    <t>UTILE(PERDITA) ESERCIZIO</t>
  </si>
  <si>
    <t>GAS</t>
  </si>
  <si>
    <t>ENERGIA</t>
  </si>
  <si>
    <t>COMPENSI AMMINISTRATORI</t>
  </si>
  <si>
    <t>ACQUA</t>
  </si>
  <si>
    <t>CONSULENZE TECNICHE</t>
  </si>
  <si>
    <t>CONSULENZE FISCALI E LEGALI</t>
  </si>
  <si>
    <t>PROVVIGIONI E RIMBORSO SPESE</t>
  </si>
  <si>
    <t>TRASPORTO</t>
  </si>
  <si>
    <t>acqua</t>
  </si>
  <si>
    <t>gas</t>
  </si>
  <si>
    <t>energia</t>
  </si>
  <si>
    <t>consulenze fiscali e legali</t>
  </si>
  <si>
    <t>consulenze tecniche</t>
  </si>
  <si>
    <t>compensi amministratori</t>
  </si>
  <si>
    <t>provvigioni e rimborso spese</t>
  </si>
  <si>
    <t>trasporti</t>
  </si>
  <si>
    <t>materiale di consumo</t>
  </si>
  <si>
    <t>Totale costi materie</t>
  </si>
  <si>
    <t>Totale costi diretti</t>
  </si>
  <si>
    <t>Quantità prodotta e venduta</t>
  </si>
  <si>
    <t>Quantità (Pezzo) da gr 400</t>
  </si>
  <si>
    <t>Quantità (Pezzo) da gr 2600</t>
  </si>
  <si>
    <t>CARTONE o BASETTA</t>
  </si>
  <si>
    <t>Prezzo minimo d'acquisto (Kg)</t>
  </si>
  <si>
    <t>Prezzo d'acquisto per singolo prodotto da gr 400</t>
  </si>
  <si>
    <t>Prezzo d'acquisto per singolo prodotto da gr 2600</t>
  </si>
  <si>
    <t>Quantita (Kg) per retail</t>
  </si>
  <si>
    <t>Quantità (Grammo) per catering</t>
  </si>
  <si>
    <t>Quantità (Grammo) per retail</t>
  </si>
  <si>
    <t>Quantita (Kg) per catering</t>
  </si>
  <si>
    <t>Prezzo d'acquisto per singolo prodotto da gr 400 (retail)</t>
  </si>
  <si>
    <t>Prezzo d'acquisto per singolo prodotto da gr 2600 (catering)</t>
  </si>
  <si>
    <t>Additivi</t>
  </si>
  <si>
    <t>Totale costi materia prima</t>
  </si>
  <si>
    <t>Materiale sussidiario</t>
  </si>
  <si>
    <t>Materiale di consumo</t>
  </si>
  <si>
    <t>Merci varie</t>
  </si>
  <si>
    <t xml:space="preserve">Numero prodotti </t>
  </si>
  <si>
    <t>Prodotti totali</t>
  </si>
  <si>
    <t>Ricavi di vendita</t>
  </si>
  <si>
    <t>=</t>
  </si>
  <si>
    <t>Prezzo Unitario Medio</t>
  </si>
  <si>
    <t>Quantità di pomodoro (Kg)</t>
  </si>
  <si>
    <t>Prezzo d'acquisto medio (Kg)</t>
  </si>
  <si>
    <t>Lattina:</t>
  </si>
  <si>
    <t>Costi Diretti (pomodoro):</t>
  </si>
  <si>
    <t>Quantità acquistata</t>
  </si>
  <si>
    <t>Prezzo d'acquisto unitario medio</t>
  </si>
  <si>
    <t>Etichetta:</t>
  </si>
  <si>
    <t>:Costi Diretti (pomodoro)</t>
  </si>
  <si>
    <t>:Costi Diretti (imballaggi)</t>
  </si>
  <si>
    <t>:Lattina</t>
  </si>
  <si>
    <t>:Cartone o Basetta</t>
  </si>
  <si>
    <t>:Etichetta</t>
  </si>
  <si>
    <t>:Plastica da imballo</t>
  </si>
  <si>
    <t>:Film estensibile</t>
  </si>
  <si>
    <t>Cartone o Basetta:</t>
  </si>
  <si>
    <t>Plastica da imballo:</t>
  </si>
  <si>
    <t>Film estensibile:</t>
  </si>
  <si>
    <t>Costi Diretti (imballaggi):</t>
  </si>
  <si>
    <t>RETAIL &amp; CATERING</t>
  </si>
  <si>
    <t>Costi Fissi Indiretti</t>
  </si>
  <si>
    <t>Costi Variabili Indiretti</t>
  </si>
  <si>
    <t>Costi Variabili Diretti</t>
  </si>
  <si>
    <t>Totale Costi Diretti</t>
  </si>
  <si>
    <t>Quantità prodotta e invenduta</t>
  </si>
  <si>
    <t>Totale Costi Indiretti</t>
  </si>
  <si>
    <t>Margine di Contribuzione Lordo</t>
  </si>
  <si>
    <t>Risultato Economico</t>
  </si>
  <si>
    <t>Risultato Industriale</t>
  </si>
  <si>
    <t xml:space="preserve">TOTALE Attività </t>
  </si>
  <si>
    <t>COSTI DIRETTI 31/12/2002</t>
  </si>
  <si>
    <t xml:space="preserve">TOTALE COSTI DIRETTI </t>
  </si>
  <si>
    <t xml:space="preserve">AZIENDA A - STRUTTURA RICAVI </t>
  </si>
  <si>
    <t xml:space="preserve">AZIENDA B - STRUTTURA RICAVI </t>
  </si>
  <si>
    <t>AZIENDA A - Personale DIRETTO PELATO</t>
  </si>
  <si>
    <t>AZIENDA A - Personale DIRETTO POLPA</t>
  </si>
  <si>
    <t>AZIENDA B - Personale DIRETTO PELATO</t>
  </si>
  <si>
    <t>AZIENDA B - Personale DIRETTO POLPA</t>
  </si>
  <si>
    <t>AZIENDA B - ANALISI DEL PUNTO DI PAREGGIO</t>
  </si>
  <si>
    <t>AZIENDA B - 31/12/2002 - STRUTTURA COSTI</t>
  </si>
  <si>
    <t>AZIENDA B 31/12/2002 - COSTI DIRETTI POLPA</t>
  </si>
  <si>
    <t>AZIENDA B 31/12/2002 - COSTI DIRETTI PELATO</t>
  </si>
  <si>
    <t>AZIENDA A - ANALISI DEL PUNTO DI PAREGGIO</t>
  </si>
  <si>
    <t>AZIENDA B</t>
  </si>
  <si>
    <t>AZIENDA A</t>
  </si>
  <si>
    <t>Costi Variabili Unitari</t>
  </si>
  <si>
    <t>TABELLA IMPUTAZIONE RICAVI - AZIENDA A</t>
  </si>
  <si>
    <t>TABELLA IMPUTAZIONE RICAVI - AZIENDA B</t>
  </si>
  <si>
    <t>Acquisti di beni vari (Vestiario, oggetti regalo, farmaci)</t>
  </si>
  <si>
    <t>Quantità prodotta e invenduta per il retail</t>
  </si>
  <si>
    <t>Quantità prodotta e invenduta per il catering</t>
  </si>
  <si>
    <t>% Costi fissi Diretti</t>
  </si>
  <si>
    <t>TABELLA IMPUTAZIONE Quote Percentuali Costi Fissi &amp; Costi Variabili - AZIENDA A</t>
  </si>
  <si>
    <t>% Costi Fissi Indiretti</t>
  </si>
  <si>
    <t>% Costi Variabili Indiretti</t>
  </si>
  <si>
    <t>TABELLA IMPUTAZIONE Quote Percentuali Costi Fissi &amp; Costi Variabili - AZIENDA B</t>
  </si>
  <si>
    <t>% Costi Variabili Diretti</t>
  </si>
  <si>
    <r>
      <t xml:space="preserve">COSTI DIRETTI POLPA              </t>
    </r>
    <r>
      <rPr>
        <b/>
        <sz val="16"/>
        <color indexed="9"/>
        <rFont val="Arial"/>
        <family val="2"/>
      </rPr>
      <t xml:space="preserve">AZIENDA B </t>
    </r>
    <r>
      <rPr>
        <b/>
        <sz val="16"/>
        <color indexed="10"/>
        <rFont val="Arial"/>
        <family val="2"/>
      </rPr>
      <t xml:space="preserve">        </t>
    </r>
    <r>
      <rPr>
        <b/>
        <sz val="16"/>
        <color indexed="15"/>
        <rFont val="Arial"/>
        <family val="2"/>
      </rPr>
      <t>COSTI DIRETTI PELATO</t>
    </r>
  </si>
  <si>
    <t>TABELLA IMPUTAZIONE COSTI INDIRETTI - AZIENDA A</t>
  </si>
  <si>
    <t>TABELLA IMPUTAZIONE COSTI INDIRETTI - AZIENDA B</t>
  </si>
  <si>
    <r>
      <t xml:space="preserve">IMPUTAZIONE COSTI DIRETTI POLPA            </t>
    </r>
    <r>
      <rPr>
        <b/>
        <sz val="16"/>
        <color indexed="9"/>
        <rFont val="Arial"/>
        <family val="2"/>
      </rPr>
      <t>AZIENDA A</t>
    </r>
    <r>
      <rPr>
        <b/>
        <sz val="16"/>
        <color indexed="10"/>
        <rFont val="Arial"/>
        <family val="2"/>
      </rPr>
      <t xml:space="preserve">        </t>
    </r>
    <r>
      <rPr>
        <b/>
        <sz val="16"/>
        <color indexed="15"/>
        <rFont val="Arial"/>
        <family val="2"/>
      </rPr>
      <t>IMPUTAZIONE</t>
    </r>
    <r>
      <rPr>
        <b/>
        <sz val="16"/>
        <color indexed="10"/>
        <rFont val="Arial"/>
        <family val="2"/>
      </rPr>
      <t xml:space="preserve">  </t>
    </r>
    <r>
      <rPr>
        <b/>
        <sz val="16"/>
        <color indexed="15"/>
        <rFont val="Arial"/>
        <family val="2"/>
      </rPr>
      <t>COSTI DIRETTI PELATO</t>
    </r>
  </si>
  <si>
    <t>Ricavi unitari</t>
  </si>
  <si>
    <t>BEP in volume produttivo</t>
  </si>
  <si>
    <t>Produzione venduta</t>
  </si>
  <si>
    <t>Produzione ottenuta</t>
  </si>
  <si>
    <t>Margine di Contribuzione Unitario</t>
  </si>
  <si>
    <t>Totale Costi Indiretti unitari</t>
  </si>
  <si>
    <t>Costi Fissi Indiretti unitari</t>
  </si>
  <si>
    <t>Costi Fissi Diretti unitari</t>
  </si>
  <si>
    <t>Costi Variabili Indiretti unitari</t>
  </si>
  <si>
    <t>Costi Variabili Diretti unitari</t>
  </si>
  <si>
    <t>Costi Fissi Unitari</t>
  </si>
  <si>
    <t>Totale Costi</t>
  </si>
  <si>
    <t>Costo diretto unitario</t>
  </si>
  <si>
    <t>Costo unitario</t>
  </si>
  <si>
    <t>Totale Costo Diretto</t>
  </si>
  <si>
    <t xml:space="preserve">Costi Variabili Indiretti </t>
  </si>
  <si>
    <t>Costi Indiretti unitari</t>
  </si>
  <si>
    <t>Margine di contribuzione</t>
  </si>
  <si>
    <t>COEFFIC.  RIPARTIZIONE(b)   =  Totale CostI IndirettI/Totale Costi Diretti</t>
  </si>
  <si>
    <t>COEFFIC.  RIPARTIZIONE(h)  =  Totale CostI Fissi Indiretti/Totale Costi Diretti</t>
  </si>
  <si>
    <t>COEFFIC.  RIPARTIZIONE(i)   =  Totale CostI Variabili Indiretti/Totale Costi Diretti</t>
  </si>
  <si>
    <t>Coeff. di ripartizione (b)</t>
  </si>
  <si>
    <t>Coeff. di ripartizione (h)</t>
  </si>
  <si>
    <t>Coeff. di ripartizione(i)</t>
  </si>
  <si>
    <t>COEFFIC.  DI RIPARTIZIONE(b) - Totale CostI IndirettI/Totale Costi Diretti</t>
  </si>
  <si>
    <t>COEFFIC.  DI RIPARTIZIONE(h) =  Totale CostI Fissi Indiretti/Totale Costi Diretti</t>
  </si>
  <si>
    <t>COEFFIC. DI RIPARTIZIONE(i)  =  Totale CostI Variabili Indiretti/Totale Costi Diretti</t>
  </si>
  <si>
    <t>Coeff. di ripartizione(b)</t>
  </si>
  <si>
    <t>Coeff. di ripartizione(h)</t>
  </si>
  <si>
    <t>TOTALE COSTI DIRETTI (COSTO PRIMO)</t>
  </si>
  <si>
    <t>CRITERIO DI RIPARTIZIONE - IL COSTO PRIMO</t>
  </si>
  <si>
    <t>Margine di Sicurezza</t>
  </si>
  <si>
    <t>B.E.P. Fatturato</t>
  </si>
  <si>
    <t>B.E.P. Quantità</t>
  </si>
  <si>
    <t xml:space="preserve">   INIZIO</t>
  </si>
  <si>
    <t>Presentazione</t>
  </si>
  <si>
    <t>MENU DI SCELTA</t>
  </si>
  <si>
    <t>Presentazione del software</t>
  </si>
  <si>
    <t xml:space="preserve">                   Presentazione</t>
  </si>
  <si>
    <t xml:space="preserve">AZIENDA A - SCHEDA RICAVI </t>
  </si>
  <si>
    <t xml:space="preserve">AZIENDA B - SCHEDA RICAVI </t>
  </si>
  <si>
    <t>Modulo per analisi diagnostica</t>
  </si>
  <si>
    <t xml:space="preserve">                   Bilancio d'esercizio (C/E)</t>
  </si>
  <si>
    <t xml:space="preserve">                   Conto Economico riclassificato</t>
  </si>
  <si>
    <t xml:space="preserve">                   Risultato industriale</t>
  </si>
  <si>
    <t xml:space="preserve">                   Struttura dei Ricavi</t>
  </si>
  <si>
    <t xml:space="preserve">                   Scheda Ricavi</t>
  </si>
  <si>
    <t xml:space="preserve">                   Costi diretti del personale</t>
  </si>
  <si>
    <t xml:space="preserve">                   Costi diretti</t>
  </si>
  <si>
    <t xml:space="preserve">                   Struttura Costi Azienda A</t>
  </si>
  <si>
    <t xml:space="preserve">                   Struttura Costi Azienda B</t>
  </si>
  <si>
    <t xml:space="preserve">                   Break Even Point Azienda A</t>
  </si>
  <si>
    <t xml:space="preserve">                   Break Even Point Azienda B</t>
  </si>
  <si>
    <t xml:space="preserve">                   Sintesi della simulazione</t>
  </si>
  <si>
    <t xml:space="preserve">                   Foglio INPUT</t>
  </si>
  <si>
    <t xml:space="preserve">                   Break Even Point Azienda A_Polpa &amp; Pelato</t>
  </si>
  <si>
    <t xml:space="preserve">                   Break Even Point Azienda B_Polpa &amp; Pelato</t>
  </si>
  <si>
    <t>Prof. Andrea Quintiliani</t>
  </si>
  <si>
    <t>La contabilità analitica nelle PMI: simulazione con caso studio</t>
  </si>
  <si>
    <t>IRES (37%)</t>
  </si>
  <si>
    <t>Autore:</t>
  </si>
  <si>
    <t xml:space="preserve">
Email: andrea.quintiliani@unich.it
</t>
  </si>
  <si>
    <t>SALDO PROVENTI/ONERI GESTIONE ACCESSORIA</t>
  </si>
  <si>
    <t>GESTIONE ACCESSORIA</t>
  </si>
  <si>
    <t>RICAVI GESTIONE ACCESSORIA</t>
  </si>
  <si>
    <t>ONERI GESTIONE ACCESORIA</t>
  </si>
  <si>
    <t>Analisi dei costi di produzione - Esercizio contabile o variabile strategica?</t>
  </si>
  <si>
    <t xml:space="preserve"> AZIENDA A - CONTO ECONOMICO AL 31/12/2022</t>
  </si>
  <si>
    <t>AZIENDA B - CONTO ECONOMICO AL 31/12/2022</t>
  </si>
  <si>
    <t>31/12/2022</t>
  </si>
  <si>
    <t>Costi Diretti 31/12/2022</t>
  </si>
  <si>
    <t>Costi Fissi Diretti 31/12/2022</t>
  </si>
  <si>
    <t>Costi Variabili Diretti 31/12/2022</t>
  </si>
  <si>
    <t>Costi Indiretti 31/12/2022</t>
  </si>
  <si>
    <t>Costi Fissi Indiretti 31/12/2022</t>
  </si>
  <si>
    <t>Costi Variabili Indiretti 31/12/2022</t>
  </si>
  <si>
    <t>COSTI DIRETTI 31/12/2022</t>
  </si>
  <si>
    <t>COSTI INDIRETTI 31/12/2022</t>
  </si>
  <si>
    <t>AZIENDA A 31/12/2022 - COSTI DIRETTI POLPA</t>
  </si>
  <si>
    <t>AZIENDA A 31/12/2022 - COSTI DIRETTI PELATO</t>
  </si>
  <si>
    <t>RISULTATO OPERATIVO (EBIT)</t>
  </si>
  <si>
    <t>RICAVI NETTI DI VENDITA (SALES)</t>
  </si>
  <si>
    <t>TOTALE COSTI DIRETTI (Total Direct Costs, TDC) ossia il COSTO INDUSTRIALE DEL VENDUTO (Cost of Goods Sold, COGS)</t>
  </si>
  <si>
    <t>RISULTATO INDUSTRIALE ossia il Margine Lordo Industriale (GROSS MARGIN/PROFIT)</t>
  </si>
  <si>
    <t>TOTALE COSTI INDIRETTI (TOTAL INDIRECT COSTS)</t>
  </si>
  <si>
    <t>AZIENDA A - CONTO ECONOMICO RICLASSIFICATO (Cost of Goods Sold) - Il conto economico a costo industriale del venduto</t>
  </si>
  <si>
    <t>AZIENDA B - CONTO ECONOMICO RICLASSIFICATO (Cost of Goods Sold) - Il conto economico a costo industriale del venduto</t>
  </si>
  <si>
    <t>Profitto Marginale (Gross Margin)</t>
  </si>
  <si>
    <t>Profitto Marginale (Gross Margin) €</t>
  </si>
  <si>
    <t>Profitto Marginale (Gross Margin) %</t>
  </si>
  <si>
    <t>AZIENDA A 31/12/2022 - RISULTATO INDUSTRIALE - Margine Lordo Industriale (GROSS MARGIN/PROFIT)</t>
  </si>
  <si>
    <t>AZIENDA B 31/12/2022 - RISULTATO INDUSTRIALE - Margine Lordo Industriale (GROSS MARGIN/PROFIT)</t>
  </si>
  <si>
    <t>AZIENDA A - STRUTTURA COSTI</t>
  </si>
  <si>
    <t>COSTI INDIRETTI 2022</t>
  </si>
  <si>
    <t>Settore di Attività 31/12/2022</t>
  </si>
  <si>
    <t>Quantità prodotta e venduta (N° di lattine da gr 400)</t>
  </si>
  <si>
    <t>Prezzo unitario (Lattina da gr 400)</t>
  </si>
  <si>
    <t>Prezzo unitario (Lattina da gr 2600)</t>
  </si>
  <si>
    <t>Quantità prodotta e venduta (N° di lattine da gr 2600)</t>
  </si>
  <si>
    <t>Quantità prodotta e invenduta per il retail (N° di lattine da gr 400)</t>
  </si>
  <si>
    <t>Quantità prodotta e invenduta per il catering (N° di lattine da gr 2600)</t>
  </si>
  <si>
    <t>Margine Lordo Industriale (Gross Profit)</t>
  </si>
  <si>
    <t>(a) =  CostI diretti per singola attività produttiva (Pelato, Polpa)</t>
  </si>
  <si>
    <t>(a) =  CostI Diretti per singola attività produttiva (Pelato, Polpa)</t>
  </si>
  <si>
    <t>In economia aziendale il punto di pareggio (break even point o break even, abbreviato in BEP) è un valore che indica la quantità, espressa in volumi di produzione o fatturato, di prodotto venduto necessaria a coprire i costi precedentemente sostenuti, al fine di chiudere il periodo di riferimento senza profitti né perdite.                                                                                     La formula che permette di calcolare il break even point è quella che vede il punto di pareggio come il risultato della divisione tra i costi fissi e la sottrazione del costo variabile unitario al prezzo di vendita. Q, il valore da calcolare, è la quantità di equilibrio, per l’appunto la quantità di prodotto da produrre e vendere per pareggiare la struttura dei costi. In altri termini:
Estesa: Break even point = Costi fissi/(Prezzo di vendita unitario – Costo variabile unitario;
Con abbreviazioni: BEP = CF/(PV-CVU).                                                      Il BEP può essere calcolato anche in termini di fatturato. In altri termini: Costi fissi / MDC% dove, “MDC% = 1 – (Costi variabili / Ricavi)” è il margine di contribuzione in percentuale.</t>
  </si>
  <si>
    <t>«La leva operativa evidenzia l’effetto della variazione del volume di vendita sul risultato economico». Affermare che un prodotto è caratterizzato da una leva operativa pari a 15 significa che, fronte di un aumento del 10% delle vendite, si otterrà un incremento del risultato economico (Reddito Operativo) pari al 150%. La leva operativa (o operating leverage) è un indicatore di struttura della gestione operativa di un'impresa, dato dal rapporto fra il reddito e il valore della produzione, con riferimento a uno specifico investimento o a un insieme di attività. In particolare il grado di leva operativa indica la sensibilità del reddito alla variazione dei ricavi. Dal punto di vista del calcolo, la leva operativa può essere vista come il rappporto:
Leva Operativa = (Fatturato - Costi Variabili) / Reddito Operativo
che si può esprimere anche come il rapporto tra il Margine di contribuzione e il Risultato operativo, che a sua volta è dato dalla differenza tra Margine di contribuzione (Mdc) e costi fissi:
LevaOperativa = Mdc / Reddito Operativo = Mdc / (Mdc - Costi Fissi).</t>
  </si>
  <si>
    <t>RISULTATO INDUSTRIALE - Margine Lordo Industriale (GROSS MARGIN/PROFIT)</t>
  </si>
  <si>
    <t xml:space="preserve">Il margine lordo industriale è la quota di reddito disponibile, quando al prezzo (o ai ricavi complessivi) viene sottratto il costo del venduto. È dunque un risultato intermedio del conto economico a costo del venduto, molto utilizzato nelle aziende che lavorano a commessa. l margine lordo industriale è il “guadagno” che si ottiene dalla differenza tra i ricavi e i costi diretti imputabili ad ogni commessa. </t>
  </si>
  <si>
    <t>Costi diretti e indiretti</t>
  </si>
  <si>
    <t>I costi diretti e indiretti sono una tipica distinzione della contabilità analitica, che fa riferimento a prodotti, o ad altri oggetti di calcolo come: i tipi di clientela, le commesse, i centri di costo, e via dicendo.
Ecco le differenze tra costi diretti e indiretti. La loro distinzione è diversa dai costi variabili e i costi fissi, dove i costi variabili variano al variare del volume di produzione, mentre i fissi restano costanti nonostante le variazioni di volume. I costi diretti sono quei costi che vengono imputati tramite la misurazione oggettiva della quantità di risorsa impiegata per ciascun prodotto, valorizzata ad un prezzo unitario noto. Gli esempi più diffusi sono quelli delle materie prime e della mano d’opera diretta. I costi indiretti sono quei costi che vengono imputati mediante una ripartizione in base ad un criterio individuato ad hoc. Questo è ben diverso dall’imputarli sulla base di una quantificazione oggettiva della quantità di risorsa impiegata.
I costi indiretti corrispondono alle risorse impiegate per il funzionamento dell’azienda nel suo insieme, oppure per i suoi sotto-sistemi come funzioni, processi, eccetera, che non hanno un legame logico di causa (il prodotto) ed effetto (il costo) per uno specifico prodotto.
Si tratta di numerosi costi aziendali, tra cui:
stipendi e altri costi amministrativi;
altri stipendi di personale non impegnato su singoli prodotti;
ammortamenti di immobili, impianti, macchinari;
costi di illuminazione, riscaldamento, telefono, sorveglianza, pulizia;
canoni di locazione.
Questi costi vengono chiamati anche generali, comuni, o overhead, e sono tanto più generali quanto più tenue è il loro legame logico con uno specifico prodotto.</t>
  </si>
  <si>
    <t xml:space="preserve">I costi fissi sono quei costi che non variano al variare delle quantità che un’azienda produce o vende.
I costi variabili, invece, sono direttamente e proporzionalmente legati alla quantità di beni e servizi prodotti da un’azienda. 
Il costo totale, infine, è la somma tra costi fissi e costi variabili. 
Sia i costi fissi che i costi variabili sono fondamentali per le aziende che intendono pianificare strategie imprenditoriali efficaci in grado di incrementare il fatturato. 
Il costo fisso è un costo che non subisce variazioni nel caso in cui varia la produzione. Ciò vuol dire che il costo fisso è un costo sostenuto dall’imprenditore anche di fronte a un fatturato pari a zero. 
Se, ad esempio, un’azienda deve produrre un bene specifico e necessita di alcuni macchinari, questi rappresentano un costo fisso, che non prende in considerazione il totale dei prodotti realizzati in un anno. 
Viene considerato un costo di struttura poiché è il prezzo che l’imprenditore paga per poter mandare avanti l’attività.                                                    Il costo variabile è l’insieme dei costi che crescono o decrescono proporzionalmente alle variazioni di produzione. 
I costi variabili, variano in base alla quantità di beni che un’azienda produce. Di conseguenza, se produce zero, i costi variabili saranno di uguale valore. 
Se la produzione arriva a livelli eccezionali, i costi variabili saranno molto elevati quindi, il costo variabile è il costo che un’azienda deve obbligatoriamente sostenere per produrre prodotti o erogare servizi. Se, da un lato, un’azienda può decidere liberamente il maggiore o minore utilizzo di materie prime, aumentando o diminuendo i costi variabili, lo stesso non si può dire dei macchinari che servono per produrre beni e legati ai costi fissi. Il costo totale è la somma dei costi variabili e dei costi fissi. È il costo che un’azienda è chiamata a sostenere in un anno di attività. 
Ovviamente siamo di fronte a un costo variabile in quanto, più la produzione di beni o l’erogazione di servizi aumenta, più aumentano i costi variabili a essa connessi. 
Da ciò si deduce che il costo totale cambia in base al variare del costo variabile. 
Quindi, come abbiamo visto, analizzare i costi è strategicamente fondamentale per pianificare un’attività nel modo migliore. 
Commettere un errore potrebbe essere fatale, e un errore molto comune è proprio la sottostima dei costi che devono essere sostenuti per mantenere operativa un’azienda o per dare inizio a un’attività nuova.  </t>
  </si>
  <si>
    <t xml:space="preserve">                   Legenda</t>
  </si>
  <si>
    <t>Presentatiom</t>
  </si>
  <si>
    <t>Presentation</t>
  </si>
  <si>
    <t>Cost accounting in SMEs: simulation with case study</t>
  </si>
  <si>
    <t>Analysis of production costs
Accounting exercise or strategic variable?</t>
  </si>
  <si>
    <t>Analysis of production costs - Accounting exercise or strategic variable?</t>
  </si>
  <si>
    <t>The margin of safety represents how much the current volume exceeds the break-even volume. It indicates how much revenue can be reduced before reaching the break-even point. The margin of safety, from a mathematical point of view, measures the relative percentage that sales volumes can suffer in terms of contraction before incurring losses. Therefore the formula is as follows: Margin of Safety (MS) = (Actual Quantity – Breakeven Quantity) / Actual Quantity. The MS can be calculated both in terms of turnover and production volumes. The safety margin represents a condition of operational risk. Once the safety margin has been set, the CFO must constantly monitor the sales trend throughout the year and verify that any contraction does not exceed the safety margin.</t>
  </si>
  <si>
    <t>Margine di sicurezza (Margin of Safety)</t>
  </si>
  <si>
    <t>BEP (break-even point)</t>
  </si>
  <si>
    <t>Il margine di sicurezza rappresenta di quanto il  volume attuale eccede il volume di pareggio. Indica di quanto possono ridursi i ricavi prima di raggiungere il punto di pareggio. Il margine di sicurezza, da un punto di vista matematico, misura la percentuale relativa che i volumi di vendita possono subire in termini di contrazione prima di incorrere in delle perdite. Pertanto la formula è la seguente: Margine di Sicurezza (MS) = (Quantità effettiva –Quantità di pareggio) / Quantità effettiva. L'MS può essere calcolato sia intermini di fatturato che di volumi di produzione. Il margine di sicurezza rappresenta una condizione di rischio operativo. Fissato il margine di sicurezza, il CFO deve costantemente monitorare nel corso dell’anno l’andamento delle vendite, e verificare che un’eventuale contrazione non superi il margine di sicurezza.</t>
  </si>
  <si>
    <t>In business economics, the break-even point (break-even point or break even, abbreviated to BEP) is a value that indicates the quantity, expressed in production volumes or turnover, of product sold necessary to cover the costs previously incurred, to close the reference period without profits or losses. The formula that allows you to calculate the break-even point is the one that sees the break-even point as the result of the division between the fixed costs and the subtraction of the variable unit cost from the sales price. Q, the value to be calculated, is the equilibrium quantity, precisely the quantity of product to be produced and sold to balance the cost structure. In other words:
Extended: Break even point = Fixed costs/(Unit selling price – Unit variable cost;
With abbreviations: BEP = CF/(PV-CVU).                                                     The BEP can also be calculated in terms of turnover. In other words: Fixed costs / MDC% where “MDC% = 1 – (Variable costs / Revenues)” is the contribution margin in percentage.</t>
  </si>
  <si>
    <t>«Operating leverage highlights the effect of the change in sales volume on the economic result». Stating that a product is characterized by an operating leverage of 15 means that, given a 10% increase in sales, an increase in the economic result (Operating Income) of 150% will be obtained. Operating leverage is an indicator of the structure of the operational management of a company, given by the relationship between income and the value of production, with reference to a specific investment or a set of activities. In particular, the degree of operating leverage indicates the sensitivity of income to changes in revenues. From a calculation point of view, operating leverage can be seen as the ratio:
Operating Leverage = (Turnover - Variable Costs) / Operating Income
which can also be expressed as the ratio between the contribution margin and the operating result, which in turn is given by the difference between the contribution margin (MDC) and fixed costs:
Operating Leverage = Mdc / Operating Income = Mdc / (Mdc - Fixed Costs).</t>
  </si>
  <si>
    <t>Leva Operativa (Operating Leverage)</t>
  </si>
  <si>
    <t>The industrial gross margin is the share of disposable income when the cost of goods sold is subtracted from the price (or overall revenues). It is therefore an intermediate result of the income statement at cost of sales, widely used in companies that work to order. The industrial gross margin is the "profit" obtained from the difference between the revenues and the direct costs attributable to each order.</t>
  </si>
  <si>
    <t xml:space="preserve">Il margine di contribuzione è un indicatore fondamentale per le aziende che hanno davvero intenzione di tenere sotto controllo i numeri per migliorare sempre di più i risultati.
Questa metrica viene utilizzata per determinare la quantità di denaro disponibile dopo aver dedotto i costi variabili di un’impresa o di un prodotto dal suo fatturato.
In altre parole, il margine di contribuzione è la differenza tra il prezzo di vendita del prodotto e i costi variabili che sono associati alla sua produzione.
Il margine di contribuzione può essere utilizzato per calcolare la quantità di denaro che un’impresa guadagna da ogni prodotto venduto.
Fa parte degli indicatori di redditività che si calcolano tipicamente dopo aver fatto la riclassificazione del conto economico.                                                       Il margine di contribuzione può essere utilizzato per determinare il punto di pareggio, ovvero il punto in cui l’impresa riesce a coprire tutti i suoi costi e non ha né profitto né perdite.
Il risultato del margine di contribuzione può dare tre diverse risposte:
- Il margine di contribuzione è uguale ai costi fissi: in questo caso l’azienda non sta ne guadagnando ne perdendo e quindi è nel suo punto di pareggio (break even point);
- Il margine di contribuzione è maggiore dei costi fissi: in questo caso l’azienda sta guadagnando e ha un profitto.
- Il margine di contribuzione è minore dei costi fissi: questo significa che il prezzo di vendita dei prodotti non copre i costi, quindi l’azienda è in perdita.
</t>
  </si>
  <si>
    <t>The contribution margin is a fundamental indicator for companies that really intend to keep the numbers under control to increasingly improve their results.
This metric is used to determine the amount of cash available after deducting the variable costs of a business or product from its revenue.
In other words, the contribution margin is the difference between the selling price of the product and the variable costs that are associated with its production.
Contribution margin can be used to calculate the amount of money a business earns from each product sold.
It is part of the profitability indicators that are typically calculated after reclassifying the income statement. The contribution margin can be used to determine the break-even point, i.e. the point at which the company manages to cover all its costs and has neither profits nor losses.
The result of the contribution margin can give three different answers:
- The contribution margin is equal to the fixed costs: in this case the company is neither earning nor losing and therefore is at its break-even point;
- The contribution margin is greater than the fixed costs: in this case the company is earning and has a profit.
- The contribution margin is lower than the fixed costs: this means that the selling price of the products does not cover the costs, therefore the company is making a loss.</t>
  </si>
  <si>
    <t>Margine di contribuzione (Contribution Margin)</t>
  </si>
  <si>
    <t>Direct and indirect costs are a typical distinction of analytical accounting, which refers to products, or other calculation objects such as: types of customers, orders, cost centers, and so on.
Here are the differences between direct and indirect costs. Their distinction is different from variable costs and fixed costs, where variable costs vary as the production volume varies, while fixed costs remain constant despite variations in volume. Direct costs are those costs that are attributed through the objective measurement of the quantity of resource used for each product, valued at a known unit price. The most widespread examples are those of raw materials and direct labor. Indirect costs are those costs that are allocated through an allocation based on an ad hoc criterion identified. This is very different from attributing them on the basis of an objective quantification of the quantity of resource used.
Indirect costs correspond to the resources used for the functioning of the company as a whole, or for its sub-systems such as functions, processes, etc., which do not have a logical link of cause (the product) and effect (the cost) for a specific product.
These are numerous business costs, including:
salaries and other administrative costs;
other salaries of staff not employed on individual products;
depreciation of properties, plants, machinery;
costs of lighting, heating, telephone, surveillance, cleaning;
rents.
These costs are also called general, common, or overhead, and are more general the weaker their logical link with a specific product.</t>
  </si>
  <si>
    <t>Fixed costs are those costs that do not vary when the quantities that a company produces or sells vary.
Variable costs, on the other hand, are directly and proportionally linked to the quantity of goods and services produced by a company.
Finally, the total cost is the sum of fixed costs and variable costs.
Both fixed costs and variable costs are fundamental for companies that intend to plan effective business strategies capable of increasing turnover.
The fixed cost is a cost that does not change if production varies. This means that the fixed cost is a cost borne by the entrepreneur even when faced with zero turnover.
If, for example, a company must produce a specific good and requires some machinery, these represent a fixed cost, which does not take into consideration the total products produced in a year.
It is considered a structural cost since it is the price that the entrepreneur pays to be able to run the business. Variable cost is the set of costs that increase or decrease proportionally to production variations.
Variable costs vary based on the quantity of goods a company produces. Consequently, if it produces zero, the variable costs will be of equal value.
If production reaches exceptional levels, variable costs will be very high therefore, variable cost is the cost that a company must necessarily bear to produce products or provide services. If, on the one hand, a company can freely decide the greater or lesser use of raw materials, increasing or decreasing variable costs, the same cannot be said of the machinery used to produce goods and linked to fixed costs. The total cost is the sum of variable costs and fixed costs. It is the cost that a company is required to bear in one year of activity.
Obviously we are faced with a variable cost as the more the production of goods or the provision of services increases, the more the variable costs associated with it increase.
From this it can be deduced that the total cost changes based on the variation of the variable cost.
Therefore, as we have seen, analyzing costs is strategically fundamental to plan an activity in the best way.
Making a mistake could be fatal, and a very common mistake is underestimating the costs that must be incurred to keep a company operational or to start a new business.</t>
  </si>
  <si>
    <t>Costi fissi e variabili (Fixed and variable costs)</t>
  </si>
  <si>
    <t>Versione 2025/01</t>
  </si>
  <si>
    <t>(PRODOTTO "non commercializzabile")</t>
  </si>
  <si>
    <t xml:space="preserve">Il software è un'applicazione ad uso PERSONALE dell'Autore e degli Studenti del Corso di "Finanza Aziendale" (Unich)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</si>
</sst>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7" formatCode="#,##0.00\ &quot;€&quot;;\-#,##0.00\ &quot;€&quot;"/>
    <numFmt numFmtId="8" formatCode="#,##0.00\ &quot;€&quot;;[Red]\-#,##0.00\ &quot;€&quot;"/>
    <numFmt numFmtId="41" formatCode="_-* #,##0_-;\-* #,##0_-;_-* &quot;-&quot;_-;_-@_-"/>
    <numFmt numFmtId="44" formatCode="_-* #,##0.00\ &quot;€&quot;_-;\-* #,##0.00\ &quot;€&quot;_-;_-* &quot;-&quot;??\ &quot;€&quot;_-;_-@_-"/>
    <numFmt numFmtId="43" formatCode="_-* #,##0.00_-;\-* #,##0.00_-;_-* &quot;-&quot;??_-;_-@_-"/>
    <numFmt numFmtId="164" formatCode="#,##0_ ;[Red]\-#,##0\ "/>
    <numFmt numFmtId="165" formatCode="0.0%"/>
    <numFmt numFmtId="166" formatCode="_-[$€-2]\ * #,##0.00_-;\-[$€-2]\ * #,##0.00_-;_-[$€-2]\ * &quot;-&quot;??_-"/>
    <numFmt numFmtId="167" formatCode="#,##0_ ;\-#,##0\ "/>
    <numFmt numFmtId="168" formatCode="_-* #,##0.00_-;\-* #,##0.00_-;_-* &quot;-&quot;_-;_-@_-"/>
    <numFmt numFmtId="169" formatCode="0;[Red]0"/>
    <numFmt numFmtId="170" formatCode="#,##0;[Red]#,##0"/>
    <numFmt numFmtId="171" formatCode="#,##0.00;[Red]#,##0.00"/>
    <numFmt numFmtId="172" formatCode="#,##0.00_ ;\-#,##0.00\ "/>
    <numFmt numFmtId="173" formatCode="0.000000"/>
    <numFmt numFmtId="174" formatCode="#,##0.000000_ ;\-#,##0.000000\ "/>
    <numFmt numFmtId="175" formatCode="0_ ;\-0\ "/>
    <numFmt numFmtId="176" formatCode="#,##0.000000"/>
    <numFmt numFmtId="177" formatCode="#,##0.00_ ;[Red]\-#,##0.00\ "/>
    <numFmt numFmtId="178" formatCode="#,##0.0000"/>
    <numFmt numFmtId="179" formatCode="#,##0.00000"/>
    <numFmt numFmtId="180" formatCode="0.00000"/>
    <numFmt numFmtId="181" formatCode="[$-410]d\-mmm\-yy;@"/>
    <numFmt numFmtId="182" formatCode="_-* #,##0\ _D_M_-;\-* #,##0\ _D_M_-;_-* &quot;-&quot;\ _D_M_-;_-@_-"/>
    <numFmt numFmtId="183" formatCode="_-* #,##0.00\ _D_M_-;\-* #,##0.00\ _D_M_-;_-* &quot;-&quot;??\ _D_M_-;_-@_-"/>
    <numFmt numFmtId="184" formatCode="_-* #,##0.00\ _F_-;\-* #,##0.00\ _F_-;_-* &quot;-&quot;??\ _F_-;_-@_-"/>
    <numFmt numFmtId="185" formatCode="_-&quot;£&quot;* #,##0_-;\-&quot;£&quot;* #,##0_-;_-&quot;£&quot;* &quot;-&quot;_-;_-@_-"/>
    <numFmt numFmtId="186" formatCode="_-&quot;€&quot;* #,##0.00_-;\-&quot;€&quot;* #,##0.00_-;_-&quot;€&quot;* &quot;-&quot;??_-;_-@_-"/>
    <numFmt numFmtId="187" formatCode="_(&quot;$&quot;* #,##0.00_);_(&quot;$&quot;* \(#,##0.00\);_(&quot;$&quot;* &quot;-&quot;??_);_(@_)"/>
    <numFmt numFmtId="188" formatCode="_-* #,##0\ &quot;DM&quot;_-;\-* #,##0\ &quot;DM&quot;_-;_-* &quot;-&quot;\ &quot;DM&quot;_-;_-@_-"/>
    <numFmt numFmtId="189" formatCode="_-* #,##0.00\ &quot;DM&quot;_-;\-* #,##0.00\ &quot;DM&quot;_-;_-* &quot;-&quot;??\ &quot;DM&quot;_-;_-@_-"/>
    <numFmt numFmtId="190" formatCode="#,##0.00\ &quot;€&quot;"/>
    <numFmt numFmtId="191" formatCode="#,##0.000000000\ &quot;€&quot;"/>
    <numFmt numFmtId="192" formatCode="#,##0.00000\ &quot;€&quot;"/>
    <numFmt numFmtId="193" formatCode="#,##0.0000\ &quot;€&quot;"/>
    <numFmt numFmtId="194" formatCode="#,##0.000000\ &quot;€&quot;"/>
    <numFmt numFmtId="195" formatCode="#,##0.00000\ &quot;€&quot;;[Red]\-#,##0.00000\ &quot;€&quot;"/>
  </numFmts>
  <fonts count="111">
    <font>
      <sz val="10"/>
      <name val="Arial"/>
    </font>
    <font>
      <sz val="10"/>
      <name val="Arial"/>
      <family val="2"/>
    </font>
    <font>
      <b/>
      <sz val="12"/>
      <name val="Arial"/>
      <family val="2"/>
    </font>
    <font>
      <b/>
      <sz val="10"/>
      <name val="Arial"/>
      <family val="2"/>
    </font>
    <font>
      <b/>
      <sz val="11"/>
      <name val="Arial"/>
      <family val="2"/>
    </font>
    <font>
      <sz val="10"/>
      <name val="Arial"/>
      <family val="2"/>
    </font>
    <font>
      <sz val="12"/>
      <name val="Arial"/>
      <family val="2"/>
    </font>
    <font>
      <u/>
      <sz val="10"/>
      <color indexed="12"/>
      <name val="Arial"/>
      <family val="2"/>
    </font>
    <font>
      <i/>
      <sz val="10"/>
      <name val="Arial"/>
      <family val="2"/>
    </font>
    <font>
      <b/>
      <sz val="9"/>
      <name val="Arial"/>
      <family val="2"/>
    </font>
    <font>
      <i/>
      <sz val="8"/>
      <name val="Arial"/>
      <family val="2"/>
    </font>
    <font>
      <sz val="10"/>
      <color indexed="12"/>
      <name val="Arial"/>
      <family val="2"/>
    </font>
    <font>
      <sz val="10"/>
      <color indexed="10"/>
      <name val="Arial"/>
      <family val="2"/>
    </font>
    <font>
      <sz val="9"/>
      <name val="Arial"/>
      <family val="2"/>
    </font>
    <font>
      <b/>
      <sz val="16"/>
      <color indexed="9"/>
      <name val="Arial"/>
      <family val="2"/>
    </font>
    <font>
      <b/>
      <sz val="10"/>
      <color indexed="15"/>
      <name val="Arial"/>
      <family val="2"/>
    </font>
    <font>
      <b/>
      <sz val="10"/>
      <color indexed="10"/>
      <name val="Arial"/>
      <family val="2"/>
    </font>
    <font>
      <b/>
      <sz val="12"/>
      <color indexed="10"/>
      <name val="Arial"/>
      <family val="2"/>
    </font>
    <font>
      <b/>
      <sz val="12"/>
      <color indexed="15"/>
      <name val="Arial"/>
      <family val="2"/>
    </font>
    <font>
      <b/>
      <sz val="14"/>
      <name val="Arial"/>
      <family val="2"/>
    </font>
    <font>
      <b/>
      <sz val="12"/>
      <color indexed="9"/>
      <name val="Palatino Linotype"/>
      <family val="1"/>
    </font>
    <font>
      <sz val="10"/>
      <name val="Comic Sans MS"/>
      <family val="4"/>
    </font>
    <font>
      <b/>
      <sz val="12"/>
      <name val="Palatino Linotype"/>
      <family val="1"/>
    </font>
    <font>
      <b/>
      <sz val="10"/>
      <name val="Comic Sans MS"/>
      <family val="4"/>
    </font>
    <font>
      <b/>
      <sz val="10"/>
      <name val="Palatino Linotype"/>
      <family val="1"/>
    </font>
    <font>
      <sz val="10"/>
      <name val="Palatino Linotype"/>
      <family val="1"/>
    </font>
    <font>
      <sz val="10"/>
      <name val="Times New Roman"/>
      <family val="1"/>
    </font>
    <font>
      <b/>
      <sz val="16"/>
      <color indexed="15"/>
      <name val="Arial"/>
      <family val="2"/>
    </font>
    <font>
      <b/>
      <sz val="16"/>
      <color indexed="10"/>
      <name val="Arial"/>
      <family val="2"/>
    </font>
    <font>
      <b/>
      <sz val="8"/>
      <color indexed="8"/>
      <name val="Verdana"/>
      <family val="2"/>
    </font>
    <font>
      <sz val="8"/>
      <color indexed="8"/>
      <name val="Verdana"/>
      <family val="2"/>
    </font>
    <font>
      <sz val="8"/>
      <name val="Arial"/>
      <family val="2"/>
    </font>
    <font>
      <sz val="10"/>
      <color indexed="8"/>
      <name val="Verdana"/>
      <family val="2"/>
    </font>
    <font>
      <sz val="10"/>
      <name val="Arial"/>
      <family val="2"/>
    </font>
    <font>
      <b/>
      <sz val="10"/>
      <color indexed="8"/>
      <name val="Verdana"/>
      <family val="2"/>
    </font>
    <font>
      <sz val="10"/>
      <name val="Verdana"/>
      <family val="2"/>
    </font>
    <font>
      <b/>
      <sz val="10"/>
      <name val="Arial"/>
      <family val="2"/>
    </font>
    <font>
      <sz val="10"/>
      <name val="Arial"/>
      <family val="2"/>
    </font>
    <font>
      <sz val="20"/>
      <color indexed="9"/>
      <name val="Arial"/>
      <family val="2"/>
    </font>
    <font>
      <sz val="10"/>
      <color indexed="15"/>
      <name val="Arial"/>
      <family val="2"/>
    </font>
    <font>
      <sz val="10"/>
      <color indexed="10"/>
      <name val="Arial"/>
      <family val="2"/>
    </font>
    <font>
      <sz val="16"/>
      <color indexed="15"/>
      <name val="Arial"/>
      <family val="2"/>
    </font>
    <font>
      <sz val="14"/>
      <color indexed="10"/>
      <name val="Arial"/>
      <family val="2"/>
    </font>
    <font>
      <b/>
      <sz val="10"/>
      <color indexed="15"/>
      <name val="Arial"/>
      <family val="2"/>
    </font>
    <font>
      <b/>
      <sz val="12"/>
      <color indexed="15"/>
      <name val="Arial"/>
      <family val="2"/>
    </font>
    <font>
      <sz val="12"/>
      <color indexed="15"/>
      <name val="Arial"/>
      <family val="2"/>
    </font>
    <font>
      <b/>
      <sz val="10"/>
      <color indexed="10"/>
      <name val="Arial"/>
      <family val="2"/>
    </font>
    <font>
      <b/>
      <sz val="12"/>
      <color indexed="10"/>
      <name val="Arial"/>
      <family val="2"/>
    </font>
    <font>
      <sz val="12"/>
      <color indexed="10"/>
      <name val="Arial"/>
      <family val="2"/>
    </font>
    <font>
      <b/>
      <sz val="11"/>
      <color indexed="15"/>
      <name val="Arial"/>
      <family val="2"/>
    </font>
    <font>
      <b/>
      <sz val="11"/>
      <color indexed="10"/>
      <name val="Arial"/>
      <family val="2"/>
    </font>
    <font>
      <b/>
      <sz val="11"/>
      <color indexed="10"/>
      <name val="Arial"/>
      <family val="2"/>
    </font>
    <font>
      <sz val="10"/>
      <color indexed="15"/>
      <name val="Arial"/>
      <family val="2"/>
    </font>
    <font>
      <sz val="10"/>
      <name val="Arial"/>
      <family val="2"/>
    </font>
    <font>
      <sz val="12"/>
      <color indexed="15"/>
      <name val="Arial"/>
      <family val="2"/>
    </font>
    <font>
      <b/>
      <sz val="14"/>
      <color indexed="15"/>
      <name val="Arial"/>
      <family val="2"/>
    </font>
    <font>
      <sz val="10"/>
      <color indexed="8"/>
      <name val="Arial"/>
      <family val="2"/>
    </font>
    <font>
      <sz val="10"/>
      <color indexed="9"/>
      <name val="Arial"/>
      <family val="2"/>
    </font>
    <font>
      <b/>
      <sz val="14"/>
      <color indexed="9"/>
      <name val="Arial"/>
      <family val="2"/>
    </font>
    <font>
      <sz val="9"/>
      <color indexed="8"/>
      <name val="Arial"/>
      <family val="2"/>
    </font>
    <font>
      <sz val="12"/>
      <color indexed="9"/>
      <name val="Arial"/>
      <family val="2"/>
    </font>
    <font>
      <sz val="10"/>
      <name val="Arial Narrow"/>
      <family val="2"/>
    </font>
    <font>
      <b/>
      <sz val="18"/>
      <name val="Arial Narrow"/>
      <family val="2"/>
    </font>
    <font>
      <i/>
      <sz val="14"/>
      <name val="Arial Narrow"/>
      <family val="2"/>
    </font>
    <font>
      <b/>
      <sz val="20"/>
      <color indexed="12"/>
      <name val="Arial Narrow"/>
      <family val="2"/>
    </font>
    <font>
      <b/>
      <i/>
      <sz val="10"/>
      <name val="Arial Narrow"/>
      <family val="2"/>
    </font>
    <font>
      <b/>
      <sz val="14"/>
      <name val="Arial Narrow"/>
      <family val="2"/>
    </font>
    <font>
      <b/>
      <i/>
      <sz val="10"/>
      <name val="Arial"/>
      <family val="2"/>
    </font>
    <font>
      <u/>
      <sz val="10"/>
      <color indexed="12"/>
      <name val="Arial"/>
      <family val="2"/>
    </font>
    <font>
      <u/>
      <sz val="10"/>
      <color indexed="36"/>
      <name val="Verdana"/>
      <family val="2"/>
    </font>
    <font>
      <sz val="12"/>
      <name val="Times New Roman"/>
      <family val="1"/>
    </font>
    <font>
      <sz val="10"/>
      <name val="Geneva"/>
    </font>
    <font>
      <sz val="12"/>
      <name val="Helvetica"/>
    </font>
    <font>
      <sz val="12"/>
      <name val="Arial MT"/>
    </font>
    <font>
      <sz val="10"/>
      <name val="Garamond"/>
      <family val="1"/>
    </font>
    <font>
      <b/>
      <sz val="18"/>
      <name val="Arial"/>
      <family val="2"/>
    </font>
    <font>
      <b/>
      <sz val="10"/>
      <name val="Geneva"/>
    </font>
    <font>
      <b/>
      <i/>
      <sz val="10"/>
      <name val="Geneva"/>
    </font>
    <font>
      <u/>
      <sz val="14"/>
      <name val="Arial"/>
      <family val="2"/>
    </font>
    <font>
      <sz val="18"/>
      <name val="Arial"/>
      <family val="2"/>
    </font>
    <font>
      <sz val="8"/>
      <color indexed="81"/>
      <name val="Tahoma"/>
      <family val="2"/>
    </font>
    <font>
      <b/>
      <sz val="8"/>
      <color indexed="81"/>
      <name val="Tahoma"/>
      <family val="2"/>
    </font>
    <font>
      <b/>
      <i/>
      <sz val="11"/>
      <name val="Arial Narrow"/>
      <family val="2"/>
    </font>
    <font>
      <sz val="11"/>
      <name val="Arial Narrow"/>
      <family val="2"/>
    </font>
    <font>
      <i/>
      <sz val="11"/>
      <name val="Arial Narrow"/>
      <family val="2"/>
    </font>
    <font>
      <b/>
      <sz val="11"/>
      <name val="Arial Narrow"/>
      <family val="2"/>
    </font>
    <font>
      <sz val="11"/>
      <name val="Arial"/>
      <family val="2"/>
    </font>
    <font>
      <b/>
      <sz val="15"/>
      <color theme="0"/>
      <name val="Arial"/>
      <family val="2"/>
    </font>
    <font>
      <b/>
      <sz val="10"/>
      <color indexed="9"/>
      <name val="Arial"/>
      <family val="2"/>
    </font>
    <font>
      <b/>
      <i/>
      <sz val="10"/>
      <color indexed="8"/>
      <name val="Arial"/>
      <family val="2"/>
    </font>
    <font>
      <b/>
      <sz val="10"/>
      <color indexed="8"/>
      <name val="Arial"/>
      <family val="2"/>
    </font>
    <font>
      <b/>
      <sz val="10"/>
      <name val="Times New Roman"/>
      <family val="1"/>
    </font>
    <font>
      <b/>
      <sz val="10"/>
      <color indexed="9"/>
      <name val="Palatino Linotype"/>
      <family val="1"/>
    </font>
    <font>
      <b/>
      <sz val="10"/>
      <color indexed="12"/>
      <name val="Times New Roman"/>
      <family val="1"/>
    </font>
    <font>
      <sz val="10"/>
      <color indexed="13"/>
      <name val="Palatino Linotype"/>
      <family val="1"/>
    </font>
    <font>
      <sz val="10"/>
      <color indexed="8"/>
      <name val="Times New Roman"/>
      <family val="1"/>
    </font>
    <font>
      <sz val="10"/>
      <color indexed="15"/>
      <name val="Palatino Linotype"/>
      <family val="1"/>
    </font>
    <font>
      <sz val="10"/>
      <color indexed="10"/>
      <name val="Palatino Linotype"/>
      <family val="1"/>
    </font>
    <font>
      <sz val="10"/>
      <color indexed="11"/>
      <name val="Palatino Linotype"/>
      <family val="1"/>
    </font>
    <font>
      <sz val="10"/>
      <color rgb="FFFF0000"/>
      <name val="Palatino Linotype"/>
      <family val="1"/>
    </font>
    <font>
      <b/>
      <sz val="14"/>
      <color rgb="FFFF0000"/>
      <name val="Arial"/>
      <family val="2"/>
    </font>
    <font>
      <sz val="10"/>
      <color rgb="FFFF0000"/>
      <name val="Arial"/>
      <family val="2"/>
    </font>
    <font>
      <sz val="12"/>
      <color rgb="FFFF0000"/>
      <name val="Arial"/>
      <family val="2"/>
    </font>
    <font>
      <b/>
      <sz val="12"/>
      <color rgb="FFFF0000"/>
      <name val="Arial"/>
      <family val="2"/>
    </font>
    <font>
      <b/>
      <sz val="11"/>
      <color rgb="FFFF0000"/>
      <name val="Arial"/>
      <family val="2"/>
    </font>
    <font>
      <b/>
      <sz val="12"/>
      <color indexed="9"/>
      <name val="Arial"/>
      <family val="2"/>
    </font>
    <font>
      <sz val="9"/>
      <color indexed="81"/>
      <name val="Tahoma"/>
      <family val="2"/>
    </font>
    <font>
      <b/>
      <sz val="9"/>
      <color indexed="81"/>
      <name val="Tahoma"/>
      <family val="2"/>
    </font>
    <font>
      <b/>
      <sz val="13"/>
      <name val="Arial"/>
      <family val="2"/>
    </font>
    <font>
      <sz val="13"/>
      <name val="Arial"/>
      <family val="2"/>
    </font>
    <font>
      <b/>
      <i/>
      <u/>
      <sz val="10"/>
      <name val="Arial Narrow"/>
      <family val="2"/>
    </font>
  </fonts>
  <fills count="28">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23"/>
        <bgColor theme="0"/>
      </patternFill>
    </fill>
    <fill>
      <patternFill patternType="solid">
        <fgColor indexed="65"/>
        <bgColor theme="0"/>
      </patternFill>
    </fill>
    <fill>
      <patternFill patternType="solid">
        <fgColor indexed="22"/>
        <bgColor theme="0"/>
      </patternFill>
    </fill>
    <fill>
      <patternFill patternType="solid">
        <fgColor indexed="47"/>
        <bgColor theme="0"/>
      </patternFill>
    </fill>
    <fill>
      <patternFill patternType="solid">
        <fgColor indexed="8"/>
        <bgColor theme="0"/>
      </patternFill>
    </fill>
    <fill>
      <patternFill patternType="solid">
        <fgColor indexed="41"/>
        <bgColor theme="0"/>
      </patternFill>
    </fill>
    <fill>
      <patternFill patternType="solid">
        <fgColor indexed="15"/>
        <bgColor theme="0"/>
      </patternFill>
    </fill>
    <fill>
      <patternFill patternType="solid">
        <fgColor indexed="10"/>
        <bgColor theme="0"/>
      </patternFill>
    </fill>
    <fill>
      <patternFill patternType="solid">
        <fgColor indexed="14"/>
        <bgColor theme="0"/>
      </patternFill>
    </fill>
    <fill>
      <patternFill patternType="solid">
        <fgColor indexed="45"/>
        <bgColor theme="0"/>
      </patternFill>
    </fill>
    <fill>
      <patternFill patternType="solid">
        <fgColor indexed="55"/>
        <bgColor theme="0"/>
      </patternFill>
    </fill>
    <fill>
      <patternFill patternType="solid">
        <fgColor indexed="9"/>
        <bgColor theme="0"/>
      </patternFill>
    </fill>
    <fill>
      <patternFill patternType="solid">
        <fgColor indexed="31"/>
        <bgColor theme="0"/>
      </patternFill>
    </fill>
    <fill>
      <patternFill patternType="solid">
        <fgColor indexed="18"/>
        <bgColor theme="0"/>
      </patternFill>
    </fill>
    <fill>
      <patternFill patternType="solid">
        <fgColor indexed="49"/>
        <bgColor theme="0"/>
      </patternFill>
    </fill>
    <fill>
      <patternFill patternType="solid">
        <fgColor indexed="46"/>
        <bgColor theme="0"/>
      </patternFill>
    </fill>
    <fill>
      <patternFill patternType="solid">
        <fgColor indexed="13"/>
        <bgColor theme="0"/>
      </patternFill>
    </fill>
    <fill>
      <patternFill patternType="solid">
        <fgColor indexed="43"/>
        <bgColor theme="0"/>
      </patternFill>
    </fill>
    <fill>
      <patternFill patternType="solid">
        <fgColor theme="5" tint="0.39994506668294322"/>
        <bgColor indexed="64"/>
      </patternFill>
    </fill>
    <fill>
      <patternFill patternType="solid">
        <fgColor rgb="FF92D050"/>
        <bgColor theme="0"/>
      </patternFill>
    </fill>
    <fill>
      <patternFill patternType="solid">
        <fgColor theme="0"/>
        <bgColor indexed="64"/>
      </patternFill>
    </fill>
    <fill>
      <patternFill patternType="solid">
        <fgColor rgb="FFC00000"/>
        <bgColor indexed="64"/>
      </patternFill>
    </fill>
    <fill>
      <patternFill patternType="solid">
        <fgColor theme="9" tint="0.79998168889431442"/>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thin">
        <color indexed="64"/>
      </left>
      <right/>
      <top style="thin">
        <color indexed="64"/>
      </top>
      <bottom/>
      <diagonal/>
    </border>
    <border>
      <left/>
      <right style="thick">
        <color indexed="64"/>
      </right>
      <top/>
      <bottom/>
      <diagonal/>
    </border>
    <border>
      <left style="thin">
        <color indexed="64"/>
      </left>
      <right/>
      <top/>
      <bottom style="thin">
        <color indexed="64"/>
      </bottom>
      <diagonal/>
    </border>
    <border>
      <left/>
      <right style="thick">
        <color indexed="64"/>
      </right>
      <top/>
      <bottom style="thin">
        <color indexed="64"/>
      </bottom>
      <diagonal/>
    </border>
    <border>
      <left/>
      <right style="thin">
        <color indexed="64"/>
      </right>
      <top/>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style="double">
        <color indexed="64"/>
      </top>
      <bottom style="thick">
        <color indexed="64"/>
      </bottom>
      <diagonal/>
    </border>
    <border>
      <left/>
      <right style="thin">
        <color indexed="64"/>
      </right>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double">
        <color indexed="64"/>
      </top>
      <bottom style="double">
        <color indexed="64"/>
      </bottom>
      <diagonal/>
    </border>
    <border>
      <left style="thick">
        <color indexed="64"/>
      </left>
      <right style="thick">
        <color indexed="64"/>
      </right>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ck">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34"/>
      </left>
      <right/>
      <top style="thick">
        <color indexed="34"/>
      </top>
      <bottom style="thick">
        <color indexed="34"/>
      </bottom>
      <diagonal/>
    </border>
    <border>
      <left/>
      <right/>
      <top style="thick">
        <color indexed="34"/>
      </top>
      <bottom style="thick">
        <color indexed="34"/>
      </bottom>
      <diagonal/>
    </border>
    <border>
      <left/>
      <right style="thick">
        <color indexed="34"/>
      </right>
      <top style="thick">
        <color indexed="34"/>
      </top>
      <bottom style="thick">
        <color indexed="34"/>
      </bottom>
      <diagonal/>
    </border>
    <border>
      <left/>
      <right/>
      <top style="thick">
        <color indexed="34"/>
      </top>
      <bottom/>
      <diagonal/>
    </border>
    <border>
      <left style="thick">
        <color indexed="64"/>
      </left>
      <right/>
      <top/>
      <bottom style="thick">
        <color indexed="64"/>
      </bottom>
      <diagonal/>
    </border>
    <border>
      <left/>
      <right style="thin">
        <color auto="1"/>
      </right>
      <top/>
      <bottom style="thin">
        <color auto="1"/>
      </bottom>
      <diagonal/>
    </border>
  </borders>
  <cellStyleXfs count="36">
    <xf numFmtId="0" fontId="0" fillId="0" borderId="0"/>
    <xf numFmtId="0" fontId="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82" fontId="26" fillId="0" borderId="0" applyFont="0" applyFill="0" applyBorder="0" applyAlignment="0" applyProtection="0"/>
    <xf numFmtId="183" fontId="26" fillId="0" borderId="0" applyFont="0" applyFill="0" applyBorder="0" applyAlignment="0" applyProtection="0"/>
    <xf numFmtId="166" fontId="1" fillId="0" borderId="0" applyFont="0" applyFill="0" applyBorder="0" applyAlignment="0" applyProtection="0"/>
    <xf numFmtId="41" fontId="70" fillId="0" borderId="0" applyFont="0" applyFill="0" applyBorder="0" applyAlignment="0" applyProtection="0"/>
    <xf numFmtId="41" fontId="1" fillId="0" borderId="0" applyFont="0" applyFill="0" applyBorder="0" applyAlignment="0" applyProtection="0"/>
    <xf numFmtId="38" fontId="71" fillId="0" borderId="0" applyFont="0" applyFill="0" applyBorder="0" applyAlignment="0" applyProtection="0"/>
    <xf numFmtId="43" fontId="5" fillId="0" borderId="0" applyFont="0" applyFill="0" applyBorder="0" applyAlignment="0" applyProtection="0"/>
    <xf numFmtId="40" fontId="71" fillId="0" borderId="0" applyFont="0" applyFill="0" applyBorder="0" applyAlignment="0" applyProtection="0"/>
    <xf numFmtId="184" fontId="70" fillId="0" borderId="0"/>
    <xf numFmtId="0" fontId="6" fillId="0" borderId="0"/>
    <xf numFmtId="0" fontId="5" fillId="0" borderId="0"/>
    <xf numFmtId="0" fontId="5" fillId="0" borderId="0"/>
    <xf numFmtId="0" fontId="33" fillId="0" borderId="0"/>
    <xf numFmtId="0" fontId="5" fillId="0" borderId="0"/>
    <xf numFmtId="0" fontId="71" fillId="0" borderId="0"/>
    <xf numFmtId="0" fontId="72" fillId="0" borderId="0"/>
    <xf numFmtId="9" fontId="1"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33" fillId="0" borderId="0"/>
    <xf numFmtId="0" fontId="73" fillId="2" borderId="0"/>
    <xf numFmtId="0" fontId="73" fillId="2" borderId="0"/>
    <xf numFmtId="185" fontId="33" fillId="0" borderId="0" applyFont="0" applyFill="0" applyBorder="0" applyAlignment="0" applyProtection="0"/>
    <xf numFmtId="186" fontId="5" fillId="0" borderId="0" applyFont="0" applyFill="0" applyBorder="0" applyAlignment="0" applyProtection="0"/>
    <xf numFmtId="187" fontId="71" fillId="0" borderId="0" applyFont="0" applyFill="0" applyBorder="0" applyAlignment="0" applyProtection="0"/>
    <xf numFmtId="187" fontId="71" fillId="0" borderId="0" applyFont="0" applyFill="0" applyBorder="0" applyAlignment="0" applyProtection="0"/>
    <xf numFmtId="187" fontId="71" fillId="0" borderId="0" applyFont="0" applyFill="0" applyBorder="0" applyAlignment="0" applyProtection="0"/>
    <xf numFmtId="187" fontId="71" fillId="0" borderId="0" applyFont="0" applyFill="0" applyBorder="0" applyAlignment="0" applyProtection="0"/>
    <xf numFmtId="43" fontId="35" fillId="0" borderId="0" applyFont="0" applyFill="0" applyBorder="0" applyAlignment="0" applyProtection="0"/>
    <xf numFmtId="188" fontId="26" fillId="0" borderId="0" applyFont="0" applyFill="0" applyBorder="0" applyAlignment="0" applyProtection="0"/>
    <xf numFmtId="189" fontId="26" fillId="0" borderId="0" applyFont="0" applyFill="0" applyBorder="0" applyAlignment="0" applyProtection="0"/>
  </cellStyleXfs>
  <cellXfs count="836">
    <xf numFmtId="0" fontId="0" fillId="0" borderId="0" xfId="0"/>
    <xf numFmtId="0" fontId="71" fillId="3" borderId="0" xfId="18" applyFill="1"/>
    <xf numFmtId="0" fontId="74" fillId="3" borderId="0" xfId="18" applyFont="1" applyFill="1"/>
    <xf numFmtId="0" fontId="76" fillId="3" borderId="0" xfId="18" applyFont="1" applyFill="1"/>
    <xf numFmtId="0" fontId="77" fillId="3" borderId="0" xfId="18" applyFont="1" applyFill="1" applyAlignment="1">
      <alignment horizontal="right"/>
    </xf>
    <xf numFmtId="0" fontId="5" fillId="3" borderId="0" xfId="0" applyFont="1" applyFill="1" applyAlignment="1">
      <alignment vertical="center"/>
    </xf>
    <xf numFmtId="0" fontId="33" fillId="3" borderId="0" xfId="0" applyFont="1" applyFill="1" applyAlignment="1">
      <alignment vertical="center"/>
    </xf>
    <xf numFmtId="0" fontId="2" fillId="3" borderId="0" xfId="0" applyFont="1" applyFill="1" applyAlignment="1">
      <alignment horizontal="center" vertical="center"/>
    </xf>
    <xf numFmtId="0" fontId="19" fillId="0" borderId="0" xfId="0" applyFont="1" applyAlignment="1">
      <alignment horizontal="left" vertical="center"/>
    </xf>
    <xf numFmtId="0" fontId="3" fillId="4" borderId="1" xfId="2" applyFont="1" applyFill="1" applyBorder="1" applyAlignment="1" applyProtection="1">
      <alignment horizontal="left" vertical="center"/>
    </xf>
    <xf numFmtId="0" fontId="58" fillId="5" borderId="2" xfId="0" applyFont="1" applyFill="1" applyBorder="1" applyAlignment="1" applyProtection="1">
      <alignment horizontal="center"/>
      <protection locked="0"/>
    </xf>
    <xf numFmtId="177" fontId="36" fillId="6" borderId="0" xfId="0" applyNumberFormat="1" applyFont="1" applyFill="1" applyAlignment="1">
      <alignment horizontal="center"/>
    </xf>
    <xf numFmtId="0" fontId="0" fillId="6" borderId="0" xfId="0" applyFill="1"/>
    <xf numFmtId="0" fontId="29" fillId="7" borderId="3" xfId="0" applyFont="1" applyFill="1" applyBorder="1" applyAlignment="1">
      <alignment wrapText="1"/>
    </xf>
    <xf numFmtId="0" fontId="30" fillId="7" borderId="3" xfId="0" applyFont="1" applyFill="1" applyBorder="1" applyAlignment="1">
      <alignment wrapText="1"/>
    </xf>
    <xf numFmtId="177" fontId="0" fillId="6" borderId="0" xfId="0" applyNumberFormat="1" applyFill="1"/>
    <xf numFmtId="0" fontId="29" fillId="7" borderId="6" xfId="0" applyFont="1" applyFill="1" applyBorder="1" applyAlignment="1">
      <alignment wrapText="1"/>
    </xf>
    <xf numFmtId="0" fontId="3" fillId="6" borderId="0" xfId="0" applyFont="1" applyFill="1" applyAlignment="1">
      <alignment vertical="top"/>
    </xf>
    <xf numFmtId="41" fontId="11" fillId="6" borderId="0" xfId="8" applyFont="1" applyFill="1" applyBorder="1" applyAlignment="1">
      <alignment vertical="top"/>
    </xf>
    <xf numFmtId="0" fontId="13" fillId="6" borderId="4" xfId="0" applyFont="1" applyFill="1" applyBorder="1" applyProtection="1">
      <protection locked="0"/>
    </xf>
    <xf numFmtId="4" fontId="3" fillId="6" borderId="0" xfId="0" applyNumberFormat="1" applyFont="1" applyFill="1" applyAlignment="1">
      <alignment vertical="top"/>
    </xf>
    <xf numFmtId="164" fontId="3" fillId="6" borderId="0" xfId="0" applyNumberFormat="1" applyFont="1" applyFill="1" applyAlignment="1">
      <alignment vertical="top"/>
    </xf>
    <xf numFmtId="0" fontId="5" fillId="6" borderId="0" xfId="0" applyFont="1" applyFill="1" applyAlignment="1">
      <alignment vertical="top"/>
    </xf>
    <xf numFmtId="0" fontId="5" fillId="6" borderId="13" xfId="0" applyFont="1" applyFill="1" applyBorder="1"/>
    <xf numFmtId="0" fontId="3" fillId="6" borderId="14" xfId="0" applyFont="1" applyFill="1" applyBorder="1"/>
    <xf numFmtId="0" fontId="3" fillId="6" borderId="15"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0" xfId="0" applyFont="1" applyFill="1"/>
    <xf numFmtId="0" fontId="15" fillId="9" borderId="14" xfId="0" applyFont="1" applyFill="1" applyBorder="1"/>
    <xf numFmtId="10" fontId="3" fillId="10" borderId="11" xfId="0" applyNumberFormat="1" applyFont="1" applyFill="1" applyBorder="1" applyAlignment="1" applyProtection="1">
      <alignment horizontal="center" vertical="center" wrapText="1"/>
      <protection locked="0"/>
    </xf>
    <xf numFmtId="10" fontId="3" fillId="10" borderId="16" xfId="0" applyNumberFormat="1" applyFont="1" applyFill="1" applyBorder="1" applyAlignment="1" applyProtection="1">
      <alignment horizontal="center" vertical="center" wrapText="1"/>
      <protection locked="0"/>
    </xf>
    <xf numFmtId="4" fontId="16" fillId="9" borderId="14" xfId="0" applyNumberFormat="1" applyFont="1" applyFill="1" applyBorder="1"/>
    <xf numFmtId="10" fontId="3" fillId="10" borderId="17" xfId="0" applyNumberFormat="1" applyFont="1" applyFill="1" applyBorder="1" applyAlignment="1" applyProtection="1">
      <alignment horizontal="center" vertical="center" wrapText="1"/>
      <protection locked="0"/>
    </xf>
    <xf numFmtId="0" fontId="3" fillId="7" borderId="18" xfId="0" applyFont="1" applyFill="1" applyBorder="1"/>
    <xf numFmtId="10" fontId="3" fillId="7" borderId="19" xfId="0" applyNumberFormat="1" applyFont="1" applyFill="1" applyBorder="1" applyAlignment="1" applyProtection="1">
      <alignment horizontal="center" vertical="center" wrapText="1"/>
      <protection locked="0"/>
    </xf>
    <xf numFmtId="10" fontId="3" fillId="7" borderId="20" xfId="0" applyNumberFormat="1" applyFont="1" applyFill="1" applyBorder="1" applyAlignment="1" applyProtection="1">
      <alignment horizontal="center" vertical="center" wrapText="1"/>
      <protection locked="0"/>
    </xf>
    <xf numFmtId="10" fontId="3" fillId="7" borderId="1" xfId="0" applyNumberFormat="1" applyFont="1" applyFill="1" applyBorder="1" applyAlignment="1" applyProtection="1">
      <alignment horizontal="center" vertical="center" wrapText="1"/>
      <protection locked="0"/>
    </xf>
    <xf numFmtId="0" fontId="0" fillId="6" borderId="0" xfId="0" applyFill="1" applyAlignment="1">
      <alignment horizontal="center"/>
    </xf>
    <xf numFmtId="0" fontId="3" fillId="6" borderId="3" xfId="0" applyFont="1" applyFill="1" applyBorder="1" applyAlignment="1" applyProtection="1">
      <alignment horizontal="center" vertical="center" wrapText="1"/>
      <protection locked="0"/>
    </xf>
    <xf numFmtId="0" fontId="8" fillId="6" borderId="12" xfId="0" applyFont="1" applyFill="1" applyBorder="1"/>
    <xf numFmtId="14" fontId="3" fillId="6" borderId="21" xfId="8" applyNumberFormat="1" applyFont="1" applyFill="1" applyBorder="1" applyAlignment="1" applyProtection="1">
      <alignment horizontal="center"/>
      <protection locked="0"/>
    </xf>
    <xf numFmtId="4" fontId="15" fillId="9" borderId="0" xfId="0" applyNumberFormat="1" applyFont="1" applyFill="1"/>
    <xf numFmtId="4" fontId="5" fillId="9" borderId="22" xfId="8" applyNumberFormat="1" applyFont="1" applyFill="1" applyBorder="1" applyAlignment="1"/>
    <xf numFmtId="4" fontId="3" fillId="11" borderId="23" xfId="0" applyNumberFormat="1" applyFont="1" applyFill="1" applyBorder="1"/>
    <xf numFmtId="4" fontId="3" fillId="11" borderId="24" xfId="0" applyNumberFormat="1" applyFont="1" applyFill="1" applyBorder="1"/>
    <xf numFmtId="4" fontId="8" fillId="6" borderId="4" xfId="0" applyNumberFormat="1" applyFont="1" applyFill="1" applyBorder="1" applyAlignment="1">
      <alignment wrapText="1"/>
    </xf>
    <xf numFmtId="3" fontId="3" fillId="6" borderId="5" xfId="0" applyNumberFormat="1" applyFont="1" applyFill="1" applyBorder="1" applyProtection="1">
      <protection locked="0"/>
    </xf>
    <xf numFmtId="4" fontId="8" fillId="6" borderId="4" xfId="0" applyNumberFormat="1" applyFont="1" applyFill="1" applyBorder="1"/>
    <xf numFmtId="4" fontId="8" fillId="6" borderId="25" xfId="0" applyNumberFormat="1" applyFont="1" applyFill="1" applyBorder="1"/>
    <xf numFmtId="4" fontId="3" fillId="11" borderId="4" xfId="0" applyNumberFormat="1" applyFont="1" applyFill="1" applyBorder="1"/>
    <xf numFmtId="4" fontId="3" fillId="11" borderId="26" xfId="0" applyNumberFormat="1" applyFont="1" applyFill="1" applyBorder="1"/>
    <xf numFmtId="4" fontId="8" fillId="6" borderId="27" xfId="0" applyNumberFormat="1" applyFont="1" applyFill="1" applyBorder="1" applyAlignment="1">
      <alignment wrapText="1"/>
    </xf>
    <xf numFmtId="3" fontId="3" fillId="6" borderId="5" xfId="0" applyNumberFormat="1" applyFont="1" applyFill="1" applyBorder="1"/>
    <xf numFmtId="4" fontId="8" fillId="11" borderId="28" xfId="0" applyNumberFormat="1" applyFont="1" applyFill="1" applyBorder="1" applyAlignment="1">
      <alignment wrapText="1"/>
    </xf>
    <xf numFmtId="3" fontId="3" fillId="11" borderId="29" xfId="0" applyNumberFormat="1" applyFont="1" applyFill="1" applyBorder="1"/>
    <xf numFmtId="4" fontId="8" fillId="11" borderId="30" xfId="0" applyNumberFormat="1" applyFont="1" applyFill="1" applyBorder="1" applyAlignment="1">
      <alignment wrapText="1"/>
    </xf>
    <xf numFmtId="3" fontId="3" fillId="11" borderId="31" xfId="0" applyNumberFormat="1" applyFont="1" applyFill="1" applyBorder="1"/>
    <xf numFmtId="0" fontId="5" fillId="6" borderId="0" xfId="0" applyFont="1" applyFill="1"/>
    <xf numFmtId="41" fontId="5" fillId="6" borderId="22" xfId="8" applyFont="1" applyFill="1" applyBorder="1" applyAlignment="1"/>
    <xf numFmtId="4" fontId="16" fillId="9" borderId="0" xfId="0" applyNumberFormat="1" applyFont="1" applyFill="1"/>
    <xf numFmtId="4" fontId="16" fillId="9" borderId="22" xfId="0" applyNumberFormat="1" applyFont="1" applyFill="1" applyBorder="1"/>
    <xf numFmtId="4" fontId="3" fillId="12" borderId="9" xfId="0" applyNumberFormat="1" applyFont="1" applyFill="1" applyBorder="1"/>
    <xf numFmtId="0" fontId="3" fillId="12" borderId="26" xfId="0" quotePrefix="1" applyFont="1" applyFill="1" applyBorder="1" applyAlignment="1">
      <alignment horizontal="center"/>
    </xf>
    <xf numFmtId="4" fontId="8" fillId="6" borderId="0" xfId="0" applyNumberFormat="1" applyFont="1" applyFill="1"/>
    <xf numFmtId="4" fontId="3" fillId="12" borderId="26" xfId="0" applyNumberFormat="1" applyFont="1" applyFill="1" applyBorder="1"/>
    <xf numFmtId="4" fontId="8" fillId="12" borderId="28" xfId="0" applyNumberFormat="1" applyFont="1" applyFill="1" applyBorder="1" applyAlignment="1">
      <alignment wrapText="1"/>
    </xf>
    <xf numFmtId="3" fontId="3" fillId="12" borderId="2" xfId="0" applyNumberFormat="1" applyFont="1" applyFill="1" applyBorder="1"/>
    <xf numFmtId="4" fontId="8" fillId="12" borderId="6" xfId="0" applyNumberFormat="1" applyFont="1" applyFill="1" applyBorder="1" applyAlignment="1">
      <alignment wrapText="1"/>
    </xf>
    <xf numFmtId="3" fontId="3" fillId="12" borderId="8" xfId="0" applyNumberFormat="1" applyFont="1" applyFill="1" applyBorder="1"/>
    <xf numFmtId="41" fontId="5" fillId="6" borderId="0" xfId="8" applyFont="1" applyFill="1" applyAlignment="1"/>
    <xf numFmtId="14" fontId="3" fillId="6" borderId="12" xfId="8" applyNumberFormat="1" applyFont="1" applyFill="1" applyBorder="1" applyAlignment="1" applyProtection="1">
      <alignment horizontal="center"/>
      <protection locked="0"/>
    </xf>
    <xf numFmtId="4" fontId="5" fillId="9" borderId="0" xfId="8" applyNumberFormat="1" applyFont="1" applyFill="1" applyBorder="1" applyAlignment="1"/>
    <xf numFmtId="4" fontId="8" fillId="6" borderId="23" xfId="0" applyNumberFormat="1" applyFont="1" applyFill="1" applyBorder="1" applyAlignment="1">
      <alignment wrapText="1"/>
    </xf>
    <xf numFmtId="4" fontId="8" fillId="6" borderId="9" xfId="0" applyNumberFormat="1" applyFont="1" applyFill="1" applyBorder="1"/>
    <xf numFmtId="4" fontId="8" fillId="6" borderId="7" xfId="0" applyNumberFormat="1" applyFont="1" applyFill="1" applyBorder="1"/>
    <xf numFmtId="3" fontId="3" fillId="11" borderId="2" xfId="0" applyNumberFormat="1" applyFont="1" applyFill="1" applyBorder="1"/>
    <xf numFmtId="3" fontId="3" fillId="11" borderId="32" xfId="0" applyNumberFormat="1" applyFont="1" applyFill="1" applyBorder="1"/>
    <xf numFmtId="0" fontId="8" fillId="6" borderId="0" xfId="0" applyFont="1" applyFill="1" applyAlignment="1">
      <alignment horizontal="right"/>
    </xf>
    <xf numFmtId="0" fontId="3" fillId="6" borderId="11" xfId="0" applyFont="1" applyFill="1" applyBorder="1"/>
    <xf numFmtId="0" fontId="0" fillId="6" borderId="0" xfId="0" applyFill="1" applyAlignment="1">
      <alignment horizontal="right"/>
    </xf>
    <xf numFmtId="0" fontId="27" fillId="9" borderId="33" xfId="0" applyFont="1" applyFill="1" applyBorder="1" applyAlignment="1">
      <alignment horizontal="center"/>
    </xf>
    <xf numFmtId="0" fontId="27" fillId="9" borderId="0" xfId="0" applyFont="1" applyFill="1" applyAlignment="1">
      <alignment horizontal="center"/>
    </xf>
    <xf numFmtId="0" fontId="8" fillId="6" borderId="0" xfId="0" applyFont="1" applyFill="1"/>
    <xf numFmtId="14" fontId="4" fillId="6" borderId="27" xfId="8" applyNumberFormat="1" applyFont="1" applyFill="1" applyBorder="1" applyAlignment="1" applyProtection="1">
      <alignment horizontal="center"/>
      <protection locked="0"/>
    </xf>
    <xf numFmtId="0" fontId="0" fillId="6" borderId="4" xfId="0" applyFill="1" applyBorder="1" applyProtection="1">
      <protection locked="0"/>
    </xf>
    <xf numFmtId="0" fontId="5" fillId="6" borderId="4" xfId="0" applyFont="1" applyFill="1" applyBorder="1" applyProtection="1">
      <protection locked="0"/>
    </xf>
    <xf numFmtId="0" fontId="28" fillId="9" borderId="33" xfId="0" applyFont="1" applyFill="1" applyBorder="1" applyAlignment="1">
      <alignment horizontal="center"/>
    </xf>
    <xf numFmtId="0" fontId="28" fillId="9" borderId="0" xfId="0" applyFont="1" applyFill="1" applyAlignment="1">
      <alignment horizontal="center"/>
    </xf>
    <xf numFmtId="0" fontId="0" fillId="6" borderId="9" xfId="0" applyFill="1" applyBorder="1" applyProtection="1">
      <protection locked="0"/>
    </xf>
    <xf numFmtId="0" fontId="5" fillId="6" borderId="9" xfId="0" applyFont="1" applyFill="1" applyBorder="1" applyProtection="1">
      <protection locked="0"/>
    </xf>
    <xf numFmtId="0" fontId="3" fillId="6" borderId="4" xfId="0" applyFont="1" applyFill="1" applyBorder="1"/>
    <xf numFmtId="2" fontId="3" fillId="6" borderId="4" xfId="20" applyNumberFormat="1" applyFont="1" applyFill="1" applyBorder="1" applyAlignment="1">
      <alignment horizontal="right"/>
    </xf>
    <xf numFmtId="4" fontId="3" fillId="6" borderId="4" xfId="8" applyNumberFormat="1" applyFont="1" applyFill="1" applyBorder="1" applyAlignment="1">
      <alignment horizontal="right"/>
    </xf>
    <xf numFmtId="0" fontId="8" fillId="6" borderId="9" xfId="0" applyFont="1" applyFill="1" applyBorder="1"/>
    <xf numFmtId="49" fontId="2" fillId="6" borderId="4" xfId="8" applyNumberFormat="1" applyFont="1" applyFill="1" applyBorder="1" applyAlignment="1" applyProtection="1">
      <alignment horizontal="center" vertical="top"/>
      <protection locked="0"/>
    </xf>
    <xf numFmtId="49" fontId="2" fillId="6" borderId="0" xfId="8" applyNumberFormat="1" applyFont="1" applyFill="1" applyBorder="1" applyAlignment="1" applyProtection="1">
      <alignment horizontal="center" vertical="top"/>
      <protection locked="0"/>
    </xf>
    <xf numFmtId="0" fontId="8" fillId="6" borderId="11" xfId="0" applyFont="1" applyFill="1" applyBorder="1"/>
    <xf numFmtId="10" fontId="5" fillId="6" borderId="4" xfId="8" applyNumberFormat="1" applyFont="1" applyFill="1" applyBorder="1" applyAlignment="1">
      <alignment horizontal="center"/>
    </xf>
    <xf numFmtId="4" fontId="3" fillId="6" borderId="0" xfId="8" applyNumberFormat="1" applyFont="1" applyFill="1" applyBorder="1" applyAlignment="1">
      <alignment horizontal="right"/>
    </xf>
    <xf numFmtId="41" fontId="5" fillId="6" borderId="0" xfId="8" applyFont="1" applyFill="1" applyBorder="1"/>
    <xf numFmtId="169" fontId="1" fillId="6" borderId="9" xfId="8" applyNumberFormat="1" applyFont="1" applyFill="1" applyBorder="1" applyProtection="1">
      <protection locked="0"/>
    </xf>
    <xf numFmtId="169" fontId="1" fillId="6" borderId="11" xfId="8" applyNumberFormat="1" applyFont="1" applyFill="1" applyBorder="1" applyProtection="1">
      <protection locked="0"/>
    </xf>
    <xf numFmtId="4" fontId="5" fillId="6" borderId="0" xfId="0" applyNumberFormat="1" applyFont="1" applyFill="1"/>
    <xf numFmtId="4" fontId="3" fillId="6" borderId="0" xfId="8" applyNumberFormat="1" applyFont="1" applyFill="1" applyBorder="1" applyAlignment="1" applyProtection="1">
      <alignment horizontal="right"/>
      <protection locked="0"/>
    </xf>
    <xf numFmtId="169" fontId="1" fillId="6" borderId="4" xfId="8" applyNumberFormat="1" applyFont="1" applyFill="1" applyBorder="1" applyProtection="1">
      <protection locked="0"/>
    </xf>
    <xf numFmtId="169" fontId="3" fillId="6" borderId="9" xfId="8" applyNumberFormat="1" applyFont="1" applyFill="1" applyBorder="1"/>
    <xf numFmtId="10" fontId="3" fillId="6" borderId="4" xfId="8" applyNumberFormat="1" applyFont="1" applyFill="1" applyBorder="1" applyAlignment="1">
      <alignment horizontal="center"/>
    </xf>
    <xf numFmtId="169" fontId="3" fillId="6" borderId="11" xfId="8" applyNumberFormat="1" applyFont="1" applyFill="1" applyBorder="1" applyAlignment="1" applyProtection="1">
      <alignment wrapText="1"/>
      <protection locked="0"/>
    </xf>
    <xf numFmtId="0" fontId="3" fillId="12" borderId="10" xfId="0" applyFont="1" applyFill="1" applyBorder="1" applyAlignment="1" applyProtection="1">
      <alignment horizontal="left"/>
      <protection locked="0"/>
    </xf>
    <xf numFmtId="0" fontId="3" fillId="12" borderId="11" xfId="0" applyFont="1" applyFill="1" applyBorder="1" applyAlignment="1" applyProtection="1">
      <alignment horizontal="left"/>
      <protection locked="0"/>
    </xf>
    <xf numFmtId="0" fontId="3" fillId="6" borderId="0" xfId="0" applyFont="1" applyFill="1" applyAlignment="1" applyProtection="1">
      <alignment horizontal="left"/>
      <protection locked="0"/>
    </xf>
    <xf numFmtId="0" fontId="3" fillId="11" borderId="9" xfId="0" applyFont="1" applyFill="1" applyBorder="1" applyAlignment="1" applyProtection="1">
      <alignment horizontal="left"/>
      <protection locked="0"/>
    </xf>
    <xf numFmtId="0" fontId="3" fillId="11" borderId="11" xfId="0" applyFont="1" applyFill="1" applyBorder="1" applyAlignment="1" applyProtection="1">
      <alignment horizontal="left"/>
      <protection locked="0"/>
    </xf>
    <xf numFmtId="0" fontId="3" fillId="12" borderId="10" xfId="0" applyFont="1" applyFill="1" applyBorder="1" applyProtection="1">
      <protection locked="0"/>
    </xf>
    <xf numFmtId="3" fontId="3" fillId="12" borderId="11" xfId="0" applyNumberFormat="1" applyFont="1" applyFill="1" applyBorder="1"/>
    <xf numFmtId="0" fontId="3" fillId="11" borderId="9" xfId="0" applyFont="1" applyFill="1" applyBorder="1" applyProtection="1">
      <protection locked="0"/>
    </xf>
    <xf numFmtId="3" fontId="3" fillId="6" borderId="0" xfId="0" applyNumberFormat="1" applyFont="1" applyFill="1"/>
    <xf numFmtId="3" fontId="3" fillId="6" borderId="0" xfId="8" applyNumberFormat="1" applyFont="1" applyFill="1" applyBorder="1"/>
    <xf numFmtId="180" fontId="3" fillId="6" borderId="0" xfId="8" applyNumberFormat="1" applyFont="1" applyFill="1" applyBorder="1"/>
    <xf numFmtId="169" fontId="3" fillId="12" borderId="10" xfId="8" applyNumberFormat="1" applyFont="1" applyFill="1" applyBorder="1"/>
    <xf numFmtId="4" fontId="3" fillId="6" borderId="0" xfId="8" applyNumberFormat="1" applyFont="1" applyFill="1" applyBorder="1"/>
    <xf numFmtId="169" fontId="3" fillId="11" borderId="9" xfId="8" applyNumberFormat="1" applyFont="1" applyFill="1" applyBorder="1"/>
    <xf numFmtId="4" fontId="3" fillId="11" borderId="11" xfId="8" applyNumberFormat="1" applyFont="1" applyFill="1" applyBorder="1"/>
    <xf numFmtId="4" fontId="5" fillId="6" borderId="0" xfId="8" applyNumberFormat="1" applyFont="1" applyFill="1" applyBorder="1"/>
    <xf numFmtId="178" fontId="3" fillId="12" borderId="11" xfId="8" applyNumberFormat="1" applyFont="1" applyFill="1" applyBorder="1"/>
    <xf numFmtId="178" fontId="5" fillId="6" borderId="0" xfId="8" applyNumberFormat="1" applyFont="1" applyFill="1" applyBorder="1"/>
    <xf numFmtId="178" fontId="5" fillId="11" borderId="11" xfId="8" applyNumberFormat="1" applyFont="1" applyFill="1" applyBorder="1"/>
    <xf numFmtId="178" fontId="3" fillId="6" borderId="0" xfId="8" applyNumberFormat="1" applyFont="1" applyFill="1" applyBorder="1"/>
    <xf numFmtId="176" fontId="3" fillId="12" borderId="11" xfId="8" applyNumberFormat="1" applyFont="1" applyFill="1" applyBorder="1"/>
    <xf numFmtId="176" fontId="5" fillId="6" borderId="0" xfId="8" applyNumberFormat="1" applyFont="1" applyFill="1" applyBorder="1"/>
    <xf numFmtId="176" fontId="5" fillId="11" borderId="11" xfId="8" applyNumberFormat="1" applyFont="1" applyFill="1" applyBorder="1"/>
    <xf numFmtId="176" fontId="3" fillId="6" borderId="0" xfId="8" applyNumberFormat="1" applyFont="1" applyFill="1" applyBorder="1"/>
    <xf numFmtId="0" fontId="3" fillId="12" borderId="10" xfId="0" applyFont="1" applyFill="1" applyBorder="1"/>
    <xf numFmtId="3" fontId="5" fillId="6" borderId="0" xfId="0" applyNumberFormat="1" applyFont="1" applyFill="1"/>
    <xf numFmtId="0" fontId="3" fillId="11" borderId="9" xfId="0" applyFont="1" applyFill="1" applyBorder="1"/>
    <xf numFmtId="3" fontId="5" fillId="11" borderId="11" xfId="0" applyNumberFormat="1" applyFont="1" applyFill="1" applyBorder="1"/>
    <xf numFmtId="4" fontId="5" fillId="11" borderId="11" xfId="8" applyNumberFormat="1" applyFont="1" applyFill="1" applyBorder="1"/>
    <xf numFmtId="173" fontId="5" fillId="6" borderId="0" xfId="0" applyNumberFormat="1" applyFont="1" applyFill="1"/>
    <xf numFmtId="173" fontId="5" fillId="11" borderId="11" xfId="0" applyNumberFormat="1" applyFont="1" applyFill="1" applyBorder="1"/>
    <xf numFmtId="173" fontId="3" fillId="6" borderId="0" xfId="0" applyNumberFormat="1" applyFont="1" applyFill="1"/>
    <xf numFmtId="41" fontId="3" fillId="6" borderId="0" xfId="8" applyFont="1" applyFill="1" applyBorder="1"/>
    <xf numFmtId="2" fontId="3" fillId="6" borderId="0" xfId="8" applyNumberFormat="1" applyFont="1" applyFill="1" applyBorder="1"/>
    <xf numFmtId="2" fontId="5" fillId="6" borderId="0" xfId="8" applyNumberFormat="1" applyFont="1" applyFill="1" applyBorder="1"/>
    <xf numFmtId="179" fontId="3" fillId="12" borderId="11" xfId="8" applyNumberFormat="1" applyFont="1" applyFill="1" applyBorder="1"/>
    <xf numFmtId="179" fontId="5" fillId="6" borderId="0" xfId="8" applyNumberFormat="1" applyFont="1" applyFill="1" applyBorder="1"/>
    <xf numFmtId="179" fontId="5" fillId="11" borderId="11" xfId="8" applyNumberFormat="1" applyFont="1" applyFill="1" applyBorder="1"/>
    <xf numFmtId="179" fontId="3" fillId="6" borderId="0" xfId="8" applyNumberFormat="1" applyFont="1" applyFill="1" applyBorder="1"/>
    <xf numFmtId="0" fontId="3" fillId="12" borderId="39" xfId="0" applyFont="1" applyFill="1" applyBorder="1"/>
    <xf numFmtId="41" fontId="1" fillId="6" borderId="0" xfId="8" applyFill="1"/>
    <xf numFmtId="41" fontId="1" fillId="6" borderId="0" xfId="8" applyFont="1" applyFill="1"/>
    <xf numFmtId="41" fontId="3" fillId="6" borderId="0" xfId="8" applyFont="1" applyFill="1"/>
    <xf numFmtId="41" fontId="5" fillId="6" borderId="0" xfId="8" applyFont="1" applyFill="1"/>
    <xf numFmtId="0" fontId="8" fillId="6" borderId="4" xfId="0" applyFont="1" applyFill="1" applyBorder="1"/>
    <xf numFmtId="10" fontId="5" fillId="12" borderId="4" xfId="8" applyNumberFormat="1" applyFont="1" applyFill="1" applyBorder="1" applyAlignment="1">
      <alignment horizontal="center"/>
    </xf>
    <xf numFmtId="3" fontId="5" fillId="6" borderId="0" xfId="8" applyNumberFormat="1" applyFont="1" applyFill="1" applyBorder="1"/>
    <xf numFmtId="0" fontId="5" fillId="6" borderId="4" xfId="0" applyFont="1" applyFill="1" applyBorder="1"/>
    <xf numFmtId="169" fontId="56" fillId="6" borderId="4" xfId="8" applyNumberFormat="1" applyFont="1" applyFill="1" applyBorder="1" applyProtection="1">
      <protection locked="0"/>
    </xf>
    <xf numFmtId="10" fontId="3" fillId="12" borderId="4" xfId="8" applyNumberFormat="1" applyFont="1" applyFill="1" applyBorder="1" applyAlignment="1">
      <alignment horizontal="center"/>
    </xf>
    <xf numFmtId="0" fontId="3" fillId="12" borderId="11" xfId="0" applyFont="1" applyFill="1" applyBorder="1" applyProtection="1">
      <protection locked="0"/>
    </xf>
    <xf numFmtId="0" fontId="3" fillId="11" borderId="11" xfId="0" applyFont="1" applyFill="1" applyBorder="1" applyProtection="1">
      <protection locked="0"/>
    </xf>
    <xf numFmtId="169" fontId="3" fillId="11" borderId="10" xfId="8" applyNumberFormat="1" applyFont="1" applyFill="1" applyBorder="1"/>
    <xf numFmtId="0" fontId="3" fillId="12" borderId="11" xfId="0" applyFont="1" applyFill="1" applyBorder="1"/>
    <xf numFmtId="0" fontId="3" fillId="11" borderId="10" xfId="0" applyFont="1" applyFill="1" applyBorder="1"/>
    <xf numFmtId="0" fontId="3" fillId="12" borderId="17" xfId="0" applyFont="1" applyFill="1" applyBorder="1"/>
    <xf numFmtId="0" fontId="13" fillId="6" borderId="0" xfId="0" applyFont="1" applyFill="1"/>
    <xf numFmtId="4" fontId="0" fillId="6" borderId="0" xfId="0" applyNumberFormat="1" applyFill="1"/>
    <xf numFmtId="0" fontId="9" fillId="6" borderId="0" xfId="0" applyFont="1" applyFill="1"/>
    <xf numFmtId="0" fontId="13" fillId="8" borderId="0" xfId="0" applyFont="1" applyFill="1"/>
    <xf numFmtId="9" fontId="9" fillId="6" borderId="51" xfId="20" applyFont="1" applyFill="1" applyBorder="1" applyAlignment="1">
      <alignment horizontal="center"/>
    </xf>
    <xf numFmtId="9" fontId="9" fillId="6" borderId="2" xfId="20" applyFont="1" applyFill="1" applyBorder="1" applyAlignment="1">
      <alignment horizontal="center"/>
    </xf>
    <xf numFmtId="9" fontId="13" fillId="6" borderId="44" xfId="20" applyFont="1" applyFill="1" applyBorder="1" applyAlignment="1">
      <alignment horizontal="center"/>
    </xf>
    <xf numFmtId="9" fontId="13" fillId="6" borderId="53" xfId="0" applyNumberFormat="1" applyFont="1" applyFill="1" applyBorder="1" applyAlignment="1">
      <alignment horizontal="center"/>
    </xf>
    <xf numFmtId="0" fontId="9" fillId="6" borderId="0" xfId="0" applyFont="1" applyFill="1" applyAlignment="1">
      <alignment horizontal="right"/>
    </xf>
    <xf numFmtId="0" fontId="13" fillId="6" borderId="46" xfId="0" applyFont="1" applyFill="1" applyBorder="1"/>
    <xf numFmtId="0" fontId="13" fillId="6" borderId="55" xfId="0" applyFont="1" applyFill="1" applyBorder="1" applyAlignment="1">
      <alignment horizontal="center"/>
    </xf>
    <xf numFmtId="0" fontId="9" fillId="6" borderId="51" xfId="0" applyFont="1" applyFill="1" applyBorder="1" applyAlignment="1">
      <alignment horizontal="center"/>
    </xf>
    <xf numFmtId="0" fontId="9" fillId="6" borderId="2" xfId="0" applyFont="1" applyFill="1" applyBorder="1" applyAlignment="1">
      <alignment horizontal="center"/>
    </xf>
    <xf numFmtId="9" fontId="13" fillId="8" borderId="61" xfId="20" applyFont="1" applyFill="1" applyBorder="1" applyAlignment="1">
      <alignment horizontal="center"/>
    </xf>
    <xf numFmtId="9" fontId="13" fillId="8" borderId="62" xfId="20" applyFont="1" applyFill="1" applyBorder="1" applyAlignment="1">
      <alignment horizontal="center"/>
    </xf>
    <xf numFmtId="4" fontId="5" fillId="6" borderId="4" xfId="0" applyNumberFormat="1" applyFont="1" applyFill="1" applyBorder="1"/>
    <xf numFmtId="0" fontId="5" fillId="16" borderId="0" xfId="0" applyFont="1" applyFill="1"/>
    <xf numFmtId="0" fontId="10" fillId="6" borderId="4" xfId="0" applyFont="1" applyFill="1" applyBorder="1"/>
    <xf numFmtId="0" fontId="4" fillId="6" borderId="4" xfId="0" quotePrefix="1" applyFont="1" applyFill="1" applyBorder="1" applyAlignment="1">
      <alignment horizontal="center"/>
    </xf>
    <xf numFmtId="0" fontId="3" fillId="17" borderId="4" xfId="0" applyFont="1" applyFill="1" applyBorder="1" applyAlignment="1">
      <alignment horizontal="center"/>
    </xf>
    <xf numFmtId="0" fontId="0" fillId="6" borderId="4" xfId="0" applyFill="1" applyBorder="1"/>
    <xf numFmtId="41" fontId="1" fillId="6" borderId="4" xfId="8" applyFill="1" applyBorder="1"/>
    <xf numFmtId="4" fontId="21" fillId="17" borderId="4" xfId="20" applyNumberFormat="1" applyFont="1" applyFill="1" applyBorder="1" applyAlignment="1">
      <alignment horizontal="right"/>
    </xf>
    <xf numFmtId="9" fontId="21" fillId="17" borderId="4" xfId="20" applyFont="1" applyFill="1" applyBorder="1" applyAlignment="1">
      <alignment horizontal="center"/>
    </xf>
    <xf numFmtId="0" fontId="0" fillId="6" borderId="66" xfId="0" applyFill="1" applyBorder="1"/>
    <xf numFmtId="0" fontId="0" fillId="6" borderId="67" xfId="0" applyFill="1" applyBorder="1"/>
    <xf numFmtId="0" fontId="0" fillId="6" borderId="68" xfId="0" applyFill="1" applyBorder="1"/>
    <xf numFmtId="41" fontId="3" fillId="6" borderId="4" xfId="0" applyNumberFormat="1" applyFont="1" applyFill="1" applyBorder="1"/>
    <xf numFmtId="10" fontId="23" fillId="7" borderId="4" xfId="20" applyNumberFormat="1" applyFont="1" applyFill="1" applyBorder="1" applyAlignment="1">
      <alignment horizontal="center"/>
    </xf>
    <xf numFmtId="10" fontId="3" fillId="7" borderId="4" xfId="0" applyNumberFormat="1" applyFont="1" applyFill="1" applyBorder="1" applyAlignment="1">
      <alignment horizontal="center"/>
    </xf>
    <xf numFmtId="41" fontId="0" fillId="6" borderId="0" xfId="0" applyNumberFormat="1" applyFill="1"/>
    <xf numFmtId="4" fontId="21" fillId="6" borderId="0" xfId="0" applyNumberFormat="1" applyFont="1" applyFill="1"/>
    <xf numFmtId="41" fontId="21" fillId="6" borderId="0" xfId="0" applyNumberFormat="1" applyFont="1" applyFill="1" applyAlignment="1">
      <alignment horizontal="center"/>
    </xf>
    <xf numFmtId="4" fontId="21" fillId="6" borderId="4" xfId="0" applyNumberFormat="1" applyFont="1" applyFill="1" applyBorder="1"/>
    <xf numFmtId="0" fontId="21" fillId="6" borderId="4" xfId="0" applyFont="1" applyFill="1" applyBorder="1" applyAlignment="1">
      <alignment horizontal="center"/>
    </xf>
    <xf numFmtId="41" fontId="0" fillId="6" borderId="4" xfId="0" applyNumberFormat="1" applyFill="1" applyBorder="1"/>
    <xf numFmtId="10" fontId="23" fillId="6" borderId="4" xfId="20" applyNumberFormat="1" applyFont="1" applyFill="1" applyBorder="1" applyAlignment="1">
      <alignment horizontal="center"/>
    </xf>
    <xf numFmtId="4" fontId="3" fillId="6" borderId="4" xfId="0" applyNumberFormat="1" applyFont="1" applyFill="1" applyBorder="1"/>
    <xf numFmtId="41" fontId="3" fillId="6" borderId="4" xfId="0" applyNumberFormat="1" applyFont="1" applyFill="1" applyBorder="1" applyAlignment="1">
      <alignment horizontal="center"/>
    </xf>
    <xf numFmtId="41" fontId="3" fillId="6" borderId="39" xfId="0" applyNumberFormat="1" applyFont="1" applyFill="1" applyBorder="1"/>
    <xf numFmtId="41" fontId="23" fillId="6" borderId="0" xfId="0" applyNumberFormat="1" applyFont="1" applyFill="1"/>
    <xf numFmtId="41" fontId="23" fillId="6" borderId="0" xfId="0" applyNumberFormat="1" applyFont="1" applyFill="1" applyAlignment="1">
      <alignment horizontal="center"/>
    </xf>
    <xf numFmtId="41" fontId="3" fillId="6" borderId="0" xfId="0" applyNumberFormat="1" applyFont="1" applyFill="1"/>
    <xf numFmtId="41" fontId="3" fillId="6" borderId="0" xfId="0" applyNumberFormat="1" applyFont="1" applyFill="1" applyAlignment="1">
      <alignment horizontal="center"/>
    </xf>
    <xf numFmtId="41" fontId="0" fillId="6" borderId="0" xfId="0" applyNumberFormat="1" applyFill="1" applyAlignment="1">
      <alignment horizontal="right"/>
    </xf>
    <xf numFmtId="10" fontId="0" fillId="6" borderId="0" xfId="0" applyNumberFormat="1" applyFill="1"/>
    <xf numFmtId="0" fontId="22" fillId="6" borderId="4" xfId="0" applyFont="1" applyFill="1" applyBorder="1" applyProtection="1">
      <protection locked="0"/>
    </xf>
    <xf numFmtId="0" fontId="20" fillId="6" borderId="0" xfId="0" applyFont="1" applyFill="1" applyAlignment="1">
      <alignment horizontal="left"/>
    </xf>
    <xf numFmtId="9" fontId="1" fillId="6" borderId="0" xfId="20" applyFill="1" applyAlignment="1">
      <alignment horizontal="right"/>
    </xf>
    <xf numFmtId="0" fontId="38" fillId="16" borderId="0" xfId="0" applyFont="1" applyFill="1" applyAlignment="1">
      <alignment horizontal="center"/>
    </xf>
    <xf numFmtId="0" fontId="0" fillId="21" borderId="0" xfId="0" applyFill="1"/>
    <xf numFmtId="0" fontId="0" fillId="16" borderId="0" xfId="0" applyFill="1"/>
    <xf numFmtId="0" fontId="39" fillId="9" borderId="0" xfId="0" applyFont="1" applyFill="1"/>
    <xf numFmtId="0" fontId="0" fillId="9" borderId="0" xfId="0" applyFill="1"/>
    <xf numFmtId="0" fontId="12" fillId="9" borderId="0" xfId="0" applyFont="1" applyFill="1"/>
    <xf numFmtId="0" fontId="15" fillId="9" borderId="0" xfId="0" applyFont="1" applyFill="1" applyAlignment="1">
      <alignment horizontal="left"/>
    </xf>
    <xf numFmtId="4" fontId="55" fillId="9" borderId="0" xfId="0" applyNumberFormat="1" applyFont="1" applyFill="1"/>
    <xf numFmtId="0" fontId="12" fillId="9" borderId="0" xfId="0" applyFont="1" applyFill="1" applyAlignment="1">
      <alignment horizontal="right"/>
    </xf>
    <xf numFmtId="0" fontId="44" fillId="9" borderId="0" xfId="0" applyFont="1" applyFill="1" applyAlignment="1">
      <alignment horizontal="right"/>
    </xf>
    <xf numFmtId="0" fontId="39" fillId="9" borderId="0" xfId="0" applyFont="1" applyFill="1" applyAlignment="1">
      <alignment horizontal="right"/>
    </xf>
    <xf numFmtId="0" fontId="39" fillId="9" borderId="0" xfId="0" applyFont="1" applyFill="1" applyAlignment="1">
      <alignment horizontal="left"/>
    </xf>
    <xf numFmtId="0" fontId="53" fillId="21" borderId="0" xfId="0" applyFont="1" applyFill="1"/>
    <xf numFmtId="0" fontId="40" fillId="9" borderId="0" xfId="0" applyFont="1" applyFill="1" applyAlignment="1">
      <alignment horizontal="left"/>
    </xf>
    <xf numFmtId="0" fontId="39" fillId="9" borderId="0" xfId="0" applyFont="1" applyFill="1" applyAlignment="1">
      <alignment horizontal="center"/>
    </xf>
    <xf numFmtId="0" fontId="52" fillId="9" borderId="11" xfId="0" applyFont="1" applyFill="1" applyBorder="1" applyAlignment="1" applyProtection="1">
      <alignment horizontal="right"/>
      <protection locked="0"/>
    </xf>
    <xf numFmtId="0" fontId="40" fillId="9" borderId="11" xfId="0" applyFont="1" applyFill="1" applyBorder="1" applyAlignment="1" applyProtection="1">
      <alignment horizontal="left"/>
      <protection locked="0"/>
    </xf>
    <xf numFmtId="0" fontId="52" fillId="9" borderId="0" xfId="0" applyFont="1" applyFill="1"/>
    <xf numFmtId="4" fontId="45" fillId="9" borderId="0" xfId="0" applyNumberFormat="1" applyFont="1" applyFill="1"/>
    <xf numFmtId="4" fontId="48" fillId="9" borderId="0" xfId="0" applyNumberFormat="1" applyFont="1" applyFill="1" applyAlignment="1">
      <alignment horizontal="left"/>
    </xf>
    <xf numFmtId="0" fontId="47" fillId="9" borderId="0" xfId="0" applyFont="1" applyFill="1" applyAlignment="1">
      <alignment horizontal="left"/>
    </xf>
    <xf numFmtId="4" fontId="18" fillId="9" borderId="0" xfId="0" applyNumberFormat="1" applyFont="1" applyFill="1"/>
    <xf numFmtId="0" fontId="0" fillId="9" borderId="0" xfId="0" applyFill="1" applyAlignment="1">
      <alignment horizontal="left"/>
    </xf>
    <xf numFmtId="179" fontId="45" fillId="9" borderId="0" xfId="0" applyNumberFormat="1" applyFont="1" applyFill="1"/>
    <xf numFmtId="0" fontId="44" fillId="9" borderId="0" xfId="0" applyFont="1" applyFill="1" applyAlignment="1">
      <alignment horizontal="left"/>
    </xf>
    <xf numFmtId="0" fontId="52" fillId="9" borderId="0" xfId="0" applyFont="1" applyFill="1" applyAlignment="1" applyProtection="1">
      <alignment horizontal="right"/>
      <protection locked="0"/>
    </xf>
    <xf numFmtId="0" fontId="40" fillId="9" borderId="0" xfId="0" applyFont="1" applyFill="1" applyAlignment="1" applyProtection="1">
      <alignment horizontal="left"/>
      <protection locked="0"/>
    </xf>
    <xf numFmtId="0" fontId="3" fillId="21" borderId="0" xfId="0" applyFont="1" applyFill="1"/>
    <xf numFmtId="179" fontId="18" fillId="9" borderId="0" xfId="0" applyNumberFormat="1" applyFont="1" applyFill="1"/>
    <xf numFmtId="0" fontId="43" fillId="9" borderId="0" xfId="0" applyFont="1" applyFill="1" applyAlignment="1">
      <alignment horizontal="right"/>
    </xf>
    <xf numFmtId="0" fontId="46" fillId="9" borderId="0" xfId="0" applyFont="1" applyFill="1" applyAlignment="1">
      <alignment horizontal="left"/>
    </xf>
    <xf numFmtId="0" fontId="17" fillId="9" borderId="0" xfId="0" applyFont="1" applyFill="1" applyAlignment="1">
      <alignment horizontal="left"/>
    </xf>
    <xf numFmtId="0" fontId="12" fillId="9" borderId="0" xfId="0" applyFont="1" applyFill="1" applyAlignment="1">
      <alignment horizontal="left"/>
    </xf>
    <xf numFmtId="0" fontId="49" fillId="9" borderId="0" xfId="0" applyFont="1" applyFill="1" applyAlignment="1">
      <alignment horizontal="right"/>
    </xf>
    <xf numFmtId="0" fontId="50" fillId="9" borderId="0" xfId="0" applyFont="1" applyFill="1" applyAlignment="1">
      <alignment horizontal="left"/>
    </xf>
    <xf numFmtId="0" fontId="51" fillId="9" borderId="0" xfId="0" applyFont="1" applyFill="1" applyAlignment="1">
      <alignment horizontal="left"/>
    </xf>
    <xf numFmtId="0" fontId="17" fillId="9" borderId="0" xfId="0" applyFont="1" applyFill="1"/>
    <xf numFmtId="10" fontId="39" fillId="9" borderId="0" xfId="0" applyNumberFormat="1" applyFont="1" applyFill="1" applyAlignment="1">
      <alignment horizontal="left"/>
    </xf>
    <xf numFmtId="10" fontId="18" fillId="9" borderId="0" xfId="0" applyNumberFormat="1" applyFont="1" applyFill="1"/>
    <xf numFmtId="10" fontId="12" fillId="9" borderId="0" xfId="0" applyNumberFormat="1" applyFont="1" applyFill="1" applyAlignment="1">
      <alignment horizontal="right"/>
    </xf>
    <xf numFmtId="10" fontId="0" fillId="16" borderId="0" xfId="0" applyNumberFormat="1" applyFill="1"/>
    <xf numFmtId="4" fontId="15" fillId="9" borderId="69" xfId="0" applyNumberFormat="1" applyFont="1" applyFill="1" applyBorder="1"/>
    <xf numFmtId="4" fontId="3" fillId="11" borderId="70" xfId="0" applyNumberFormat="1" applyFont="1" applyFill="1" applyBorder="1"/>
    <xf numFmtId="0" fontId="3" fillId="6" borderId="22" xfId="0" applyFont="1" applyFill="1" applyBorder="1"/>
    <xf numFmtId="4" fontId="8" fillId="6" borderId="69" xfId="0" applyNumberFormat="1" applyFont="1" applyFill="1" applyBorder="1"/>
    <xf numFmtId="4" fontId="3" fillId="12" borderId="71" xfId="0" applyNumberFormat="1" applyFont="1" applyFill="1" applyBorder="1"/>
    <xf numFmtId="49" fontId="2" fillId="6" borderId="34" xfId="8" applyNumberFormat="1" applyFont="1" applyFill="1" applyBorder="1" applyAlignment="1" applyProtection="1">
      <alignment horizontal="center" vertical="top"/>
      <protection locked="0"/>
    </xf>
    <xf numFmtId="10" fontId="5" fillId="6" borderId="34" xfId="8" applyNumberFormat="1" applyFont="1" applyFill="1" applyBorder="1" applyAlignment="1">
      <alignment horizontal="center"/>
    </xf>
    <xf numFmtId="0" fontId="3" fillId="6" borderId="34" xfId="0" applyFont="1" applyFill="1" applyBorder="1" applyAlignment="1" applyProtection="1">
      <alignment horizontal="left"/>
      <protection locked="0"/>
    </xf>
    <xf numFmtId="180" fontId="3" fillId="6" borderId="34" xfId="8" applyNumberFormat="1" applyFont="1" applyFill="1" applyBorder="1"/>
    <xf numFmtId="4" fontId="3" fillId="6" borderId="34" xfId="8" applyNumberFormat="1" applyFont="1" applyFill="1" applyBorder="1"/>
    <xf numFmtId="178" fontId="3" fillId="6" borderId="34" xfId="8" applyNumberFormat="1" applyFont="1" applyFill="1" applyBorder="1"/>
    <xf numFmtId="176" fontId="3" fillId="6" borderId="34" xfId="8" applyNumberFormat="1" applyFont="1" applyFill="1" applyBorder="1"/>
    <xf numFmtId="4" fontId="5" fillId="6" borderId="34" xfId="8" applyNumberFormat="1" applyFont="1" applyFill="1" applyBorder="1"/>
    <xf numFmtId="173" fontId="3" fillId="6" borderId="34" xfId="0" applyNumberFormat="1" applyFont="1" applyFill="1" applyBorder="1"/>
    <xf numFmtId="41" fontId="1" fillId="6" borderId="34" xfId="8" applyFill="1" applyBorder="1"/>
    <xf numFmtId="2" fontId="1" fillId="6" borderId="34" xfId="8" applyNumberFormat="1" applyFill="1" applyBorder="1"/>
    <xf numFmtId="179" fontId="3" fillId="6" borderId="34" xfId="8" applyNumberFormat="1" applyFont="1" applyFill="1" applyBorder="1"/>
    <xf numFmtId="180" fontId="3" fillId="6" borderId="25" xfId="8" applyNumberFormat="1" applyFont="1" applyFill="1" applyBorder="1"/>
    <xf numFmtId="4" fontId="3" fillId="6" borderId="25" xfId="8" applyNumberFormat="1" applyFont="1" applyFill="1" applyBorder="1"/>
    <xf numFmtId="178" fontId="3" fillId="6" borderId="25" xfId="8" applyNumberFormat="1" applyFont="1" applyFill="1" applyBorder="1"/>
    <xf numFmtId="176" fontId="3" fillId="6" borderId="25" xfId="8" applyNumberFormat="1" applyFont="1" applyFill="1" applyBorder="1"/>
    <xf numFmtId="4" fontId="5" fillId="6" borderId="25" xfId="8" applyNumberFormat="1" applyFont="1" applyFill="1" applyBorder="1"/>
    <xf numFmtId="173" fontId="3" fillId="6" borderId="25" xfId="0" applyNumberFormat="1" applyFont="1" applyFill="1" applyBorder="1"/>
    <xf numFmtId="41" fontId="1" fillId="6" borderId="25" xfId="8" applyFill="1" applyBorder="1"/>
    <xf numFmtId="2" fontId="1" fillId="6" borderId="25" xfId="8" applyNumberFormat="1" applyFill="1" applyBorder="1"/>
    <xf numFmtId="179" fontId="3" fillId="6" borderId="25" xfId="8" applyNumberFormat="1" applyFont="1" applyFill="1" applyBorder="1"/>
    <xf numFmtId="169" fontId="3" fillId="6" borderId="0" xfId="8" applyNumberFormat="1" applyFont="1" applyFill="1" applyBorder="1"/>
    <xf numFmtId="0" fontId="9" fillId="6" borderId="72" xfId="0" applyFont="1" applyFill="1" applyBorder="1"/>
    <xf numFmtId="0" fontId="3" fillId="4" borderId="1" xfId="1" applyFont="1" applyFill="1" applyBorder="1" applyAlignment="1" applyProtection="1">
      <alignment horizontal="left" vertical="center"/>
    </xf>
    <xf numFmtId="0" fontId="3" fillId="23" borderId="1" xfId="1" applyFont="1" applyFill="1" applyBorder="1" applyAlignment="1" applyProtection="1">
      <alignment horizontal="left" vertical="center"/>
    </xf>
    <xf numFmtId="0" fontId="61" fillId="25" borderId="0" xfId="17" applyFont="1" applyFill="1" applyAlignment="1">
      <alignment vertical="center"/>
    </xf>
    <xf numFmtId="0" fontId="5" fillId="25" borderId="0" xfId="17" applyFill="1"/>
    <xf numFmtId="0" fontId="65" fillId="25" borderId="0" xfId="17" applyFont="1" applyFill="1" applyAlignment="1">
      <alignment horizontal="center" vertical="center"/>
    </xf>
    <xf numFmtId="0" fontId="66" fillId="25" borderId="0" xfId="17" applyFont="1" applyFill="1" applyAlignment="1">
      <alignment horizontal="left" vertical="center"/>
    </xf>
    <xf numFmtId="181" fontId="65" fillId="25" borderId="0" xfId="17" applyNumberFormat="1" applyFont="1" applyFill="1" applyAlignment="1">
      <alignment horizontal="left" vertical="center"/>
    </xf>
    <xf numFmtId="0" fontId="67" fillId="25" borderId="0" xfId="17" applyFont="1" applyFill="1" applyAlignment="1">
      <alignment horizontal="center" vertical="center"/>
    </xf>
    <xf numFmtId="0" fontId="5" fillId="25" borderId="0" xfId="17" quotePrefix="1" applyFill="1"/>
    <xf numFmtId="0" fontId="63" fillId="25" borderId="0" xfId="17" applyFont="1" applyFill="1" applyAlignment="1">
      <alignment horizontal="center" vertical="center"/>
    </xf>
    <xf numFmtId="0" fontId="62" fillId="25" borderId="0" xfId="17" applyFont="1" applyFill="1" applyAlignment="1">
      <alignment horizontal="center" vertical="center"/>
    </xf>
    <xf numFmtId="0" fontId="82" fillId="3" borderId="0" xfId="17" applyFont="1" applyFill="1" applyAlignment="1">
      <alignment horizontal="left" vertical="center"/>
    </xf>
    <xf numFmtId="0" fontId="83" fillId="3" borderId="0" xfId="17" applyFont="1" applyFill="1" applyAlignment="1">
      <alignment vertical="center"/>
    </xf>
    <xf numFmtId="0" fontId="84" fillId="3" borderId="0" xfId="17" applyFont="1" applyFill="1" applyAlignment="1">
      <alignment horizontal="left" vertical="center" indent="1"/>
    </xf>
    <xf numFmtId="0" fontId="61" fillId="3" borderId="0" xfId="17" applyFont="1" applyFill="1" applyAlignment="1">
      <alignment vertical="center"/>
    </xf>
    <xf numFmtId="0" fontId="85" fillId="3" borderId="0" xfId="17" applyFont="1" applyFill="1" applyAlignment="1">
      <alignment horizontal="left" vertical="center"/>
    </xf>
    <xf numFmtId="0" fontId="86" fillId="25" borderId="0" xfId="14" applyFont="1" applyFill="1" applyAlignment="1">
      <alignment vertical="top"/>
    </xf>
    <xf numFmtId="0" fontId="84" fillId="3" borderId="0" xfId="17" applyFont="1" applyFill="1" applyAlignment="1">
      <alignment vertical="center"/>
    </xf>
    <xf numFmtId="0" fontId="65" fillId="3" borderId="0" xfId="17" applyFont="1" applyFill="1" applyAlignment="1">
      <alignment horizontal="right" vertical="center"/>
    </xf>
    <xf numFmtId="181" fontId="82" fillId="3" borderId="0" xfId="17" applyNumberFormat="1" applyFont="1" applyFill="1" applyAlignment="1">
      <alignment horizontal="left" vertical="center"/>
    </xf>
    <xf numFmtId="0" fontId="5" fillId="25" borderId="0" xfId="14" applyFill="1" applyAlignment="1">
      <alignment vertical="top"/>
    </xf>
    <xf numFmtId="0" fontId="0" fillId="25" borderId="0" xfId="0" applyFill="1"/>
    <xf numFmtId="0" fontId="3" fillId="25" borderId="0" xfId="0" applyFont="1" applyFill="1" applyAlignment="1">
      <alignment horizontal="center"/>
    </xf>
    <xf numFmtId="0" fontId="5" fillId="25" borderId="0" xfId="0" applyFont="1" applyFill="1" applyAlignment="1">
      <alignment vertical="center"/>
    </xf>
    <xf numFmtId="0" fontId="78" fillId="25" borderId="0" xfId="0" applyFont="1" applyFill="1" applyAlignment="1">
      <alignment horizontal="center" vertical="center" wrapText="1"/>
    </xf>
    <xf numFmtId="0" fontId="33" fillId="25" borderId="0" xfId="0" applyFont="1" applyFill="1" applyAlignment="1">
      <alignment vertical="center"/>
    </xf>
    <xf numFmtId="0" fontId="6" fillId="25" borderId="0" xfId="0" applyFont="1" applyFill="1"/>
    <xf numFmtId="0" fontId="2" fillId="25" borderId="0" xfId="0" applyFont="1" applyFill="1" applyAlignment="1">
      <alignment horizontal="center"/>
    </xf>
    <xf numFmtId="0" fontId="3" fillId="12" borderId="4" xfId="0" applyFont="1" applyFill="1" applyBorder="1" applyAlignment="1" applyProtection="1">
      <alignment horizontal="left"/>
      <protection locked="0"/>
    </xf>
    <xf numFmtId="3" fontId="3" fillId="12" borderId="4" xfId="0" applyNumberFormat="1" applyFont="1" applyFill="1" applyBorder="1"/>
    <xf numFmtId="3" fontId="3" fillId="12" borderId="4" xfId="8" applyNumberFormat="1" applyFont="1" applyFill="1" applyBorder="1"/>
    <xf numFmtId="180" fontId="3" fillId="12" borderId="4" xfId="8" applyNumberFormat="1" applyFont="1" applyFill="1" applyBorder="1"/>
    <xf numFmtId="4" fontId="3" fillId="12" borderId="4" xfId="8" applyNumberFormat="1" applyFont="1" applyFill="1" applyBorder="1"/>
    <xf numFmtId="178" fontId="3" fillId="12" borderId="4" xfId="8" applyNumberFormat="1" applyFont="1" applyFill="1" applyBorder="1"/>
    <xf numFmtId="176" fontId="3" fillId="12" borderId="4" xfId="8" applyNumberFormat="1" applyFont="1" applyFill="1" applyBorder="1"/>
    <xf numFmtId="4" fontId="5" fillId="12" borderId="4" xfId="8" applyNumberFormat="1" applyFont="1" applyFill="1" applyBorder="1"/>
    <xf numFmtId="173" fontId="3" fillId="12" borderId="4" xfId="0" applyNumberFormat="1" applyFont="1" applyFill="1" applyBorder="1"/>
    <xf numFmtId="179" fontId="3" fillId="12" borderId="4" xfId="8" applyNumberFormat="1" applyFont="1" applyFill="1" applyBorder="1"/>
    <xf numFmtId="0" fontId="3" fillId="11" borderId="4" xfId="0" applyFont="1" applyFill="1" applyBorder="1" applyAlignment="1" applyProtection="1">
      <alignment horizontal="left"/>
      <protection locked="0"/>
    </xf>
    <xf numFmtId="3" fontId="3" fillId="11" borderId="4" xfId="0" applyNumberFormat="1" applyFont="1" applyFill="1" applyBorder="1"/>
    <xf numFmtId="3" fontId="3" fillId="11" borderId="4" xfId="8" applyNumberFormat="1" applyFont="1" applyFill="1" applyBorder="1"/>
    <xf numFmtId="4" fontId="3" fillId="11" borderId="4" xfId="8" applyNumberFormat="1" applyFont="1" applyFill="1" applyBorder="1"/>
    <xf numFmtId="4" fontId="5" fillId="11" borderId="4" xfId="8" applyNumberFormat="1" applyFont="1" applyFill="1" applyBorder="1"/>
    <xf numFmtId="169" fontId="56" fillId="6" borderId="9" xfId="8" applyNumberFormat="1" applyFont="1" applyFill="1" applyBorder="1" applyProtection="1">
      <protection locked="0"/>
    </xf>
    <xf numFmtId="0" fontId="3" fillId="11" borderId="10" xfId="0" applyFont="1" applyFill="1" applyBorder="1" applyAlignment="1" applyProtection="1">
      <alignment horizontal="left"/>
      <protection locked="0"/>
    </xf>
    <xf numFmtId="0" fontId="3" fillId="11" borderId="10" xfId="0" applyFont="1" applyFill="1" applyBorder="1" applyProtection="1">
      <protection locked="0"/>
    </xf>
    <xf numFmtId="0" fontId="3" fillId="11" borderId="39" xfId="0" applyFont="1" applyFill="1" applyBorder="1"/>
    <xf numFmtId="178" fontId="5" fillId="11" borderId="4" xfId="8" applyNumberFormat="1" applyFont="1" applyFill="1" applyBorder="1"/>
    <xf numFmtId="176" fontId="5" fillId="11" borderId="4" xfId="8" applyNumberFormat="1" applyFont="1" applyFill="1" applyBorder="1"/>
    <xf numFmtId="3" fontId="5" fillId="11" borderId="4" xfId="0" applyNumberFormat="1" applyFont="1" applyFill="1" applyBorder="1"/>
    <xf numFmtId="173" fontId="5" fillId="11" borderId="4" xfId="0" applyNumberFormat="1" applyFont="1" applyFill="1" applyBorder="1"/>
    <xf numFmtId="179" fontId="5" fillId="11" borderId="4" xfId="8" applyNumberFormat="1" applyFont="1" applyFill="1" applyBorder="1"/>
    <xf numFmtId="10" fontId="3" fillId="11" borderId="4" xfId="0" applyNumberFormat="1" applyFont="1" applyFill="1" applyBorder="1"/>
    <xf numFmtId="8" fontId="3" fillId="8" borderId="4" xfId="0" applyNumberFormat="1" applyFont="1" applyFill="1" applyBorder="1"/>
    <xf numFmtId="8" fontId="3" fillId="8" borderId="5" xfId="0" applyNumberFormat="1" applyFont="1" applyFill="1" applyBorder="1" applyAlignment="1">
      <alignment horizontal="right"/>
    </xf>
    <xf numFmtId="8" fontId="33" fillId="8" borderId="4" xfId="0" applyNumberFormat="1" applyFont="1" applyFill="1" applyBorder="1"/>
    <xf numFmtId="8" fontId="35" fillId="8" borderId="5" xfId="0" applyNumberFormat="1" applyFont="1" applyFill="1" applyBorder="1" applyAlignment="1">
      <alignment horizontal="right"/>
    </xf>
    <xf numFmtId="8" fontId="37" fillId="8" borderId="5" xfId="0" applyNumberFormat="1" applyFont="1" applyFill="1" applyBorder="1" applyAlignment="1">
      <alignment horizontal="right"/>
    </xf>
    <xf numFmtId="8" fontId="32" fillId="8" borderId="4" xfId="0" applyNumberFormat="1" applyFont="1" applyFill="1" applyBorder="1" applyAlignment="1">
      <alignment horizontal="right" wrapText="1"/>
    </xf>
    <xf numFmtId="8" fontId="34" fillId="8" borderId="4" xfId="0" applyNumberFormat="1" applyFont="1" applyFill="1" applyBorder="1" applyAlignment="1">
      <alignment horizontal="right" wrapText="1"/>
    </xf>
    <xf numFmtId="8" fontId="36" fillId="8" borderId="5" xfId="0" applyNumberFormat="1" applyFont="1" applyFill="1" applyBorder="1" applyAlignment="1">
      <alignment horizontal="right"/>
    </xf>
    <xf numFmtId="8" fontId="35" fillId="8" borderId="5" xfId="0" applyNumberFormat="1" applyFont="1" applyFill="1" applyBorder="1" applyAlignment="1">
      <alignment horizontal="right" wrapText="1"/>
    </xf>
    <xf numFmtId="8" fontId="3" fillId="8" borderId="7" xfId="0" applyNumberFormat="1" applyFont="1" applyFill="1" applyBorder="1"/>
    <xf numFmtId="8" fontId="36" fillId="8" borderId="8" xfId="0" applyNumberFormat="1" applyFont="1" applyFill="1" applyBorder="1" applyAlignment="1">
      <alignment horizontal="right"/>
    </xf>
    <xf numFmtId="0" fontId="8" fillId="6" borderId="4" xfId="0" applyFont="1" applyFill="1" applyBorder="1" applyAlignment="1">
      <alignment vertical="top"/>
    </xf>
    <xf numFmtId="0" fontId="3" fillId="7" borderId="4" xfId="0" applyFont="1" applyFill="1" applyBorder="1" applyAlignment="1">
      <alignment vertical="top"/>
    </xf>
    <xf numFmtId="0" fontId="5" fillId="6" borderId="4" xfId="0" applyFont="1" applyFill="1" applyBorder="1" applyAlignment="1" applyProtection="1">
      <alignment horizontal="left" vertical="top"/>
      <protection locked="0"/>
    </xf>
    <xf numFmtId="0" fontId="3" fillId="7" borderId="4" xfId="0" applyFont="1" applyFill="1" applyBorder="1" applyAlignment="1">
      <alignment horizontal="left" vertical="top"/>
    </xf>
    <xf numFmtId="0" fontId="8" fillId="6" borderId="12" xfId="0" applyFont="1" applyFill="1" applyBorder="1" applyAlignment="1" applyProtection="1">
      <alignment horizontal="left" vertical="top"/>
      <protection locked="0"/>
    </xf>
    <xf numFmtId="167" fontId="5" fillId="6" borderId="0" xfId="0" applyNumberFormat="1" applyFont="1" applyFill="1" applyAlignment="1">
      <alignment vertical="top"/>
    </xf>
    <xf numFmtId="4" fontId="5" fillId="6" borderId="0" xfId="0" applyNumberFormat="1" applyFont="1" applyFill="1" applyAlignment="1">
      <alignment vertical="top"/>
    </xf>
    <xf numFmtId="0" fontId="3" fillId="6" borderId="0" xfId="0" applyFont="1" applyFill="1" applyAlignment="1">
      <alignment horizontal="left" vertical="top"/>
    </xf>
    <xf numFmtId="0" fontId="5" fillId="6" borderId="0" xfId="0" applyFont="1" applyFill="1" applyAlignment="1">
      <alignment horizontal="center" vertical="top"/>
    </xf>
    <xf numFmtId="0" fontId="5" fillId="6" borderId="4" xfId="0" applyFont="1" applyFill="1" applyBorder="1" applyAlignment="1" applyProtection="1">
      <alignment vertical="top"/>
      <protection locked="0"/>
    </xf>
    <xf numFmtId="41" fontId="5" fillId="6" borderId="0" xfId="8" applyFont="1" applyFill="1" applyAlignment="1">
      <alignment horizontal="left" vertical="top"/>
    </xf>
    <xf numFmtId="41" fontId="5" fillId="6" borderId="0" xfId="8" applyFont="1" applyFill="1" applyAlignment="1">
      <alignment vertical="top"/>
    </xf>
    <xf numFmtId="14" fontId="3" fillId="6" borderId="4" xfId="8" applyNumberFormat="1" applyFont="1" applyFill="1" applyBorder="1" applyAlignment="1" applyProtection="1">
      <alignment horizontal="center" vertical="top"/>
      <protection locked="0"/>
    </xf>
    <xf numFmtId="8" fontId="5" fillId="6" borderId="0" xfId="8" applyNumberFormat="1" applyFont="1" applyFill="1" applyBorder="1" applyAlignment="1">
      <alignment vertical="top"/>
    </xf>
    <xf numFmtId="8" fontId="67" fillId="6" borderId="0" xfId="8" applyNumberFormat="1" applyFont="1" applyFill="1" applyBorder="1" applyAlignment="1">
      <alignment vertical="top"/>
    </xf>
    <xf numFmtId="8" fontId="3" fillId="6" borderId="4" xfId="8" applyNumberFormat="1" applyFont="1" applyFill="1" applyBorder="1" applyAlignment="1">
      <alignment vertical="top"/>
    </xf>
    <xf numFmtId="8" fontId="5" fillId="6" borderId="4" xfId="8" applyNumberFormat="1" applyFont="1" applyFill="1" applyBorder="1" applyAlignment="1">
      <alignment vertical="top"/>
    </xf>
    <xf numFmtId="8" fontId="5" fillId="6" borderId="4" xfId="0" applyNumberFormat="1" applyFont="1" applyFill="1" applyBorder="1" applyAlignment="1">
      <alignment vertical="top"/>
    </xf>
    <xf numFmtId="8" fontId="3" fillId="7" borderId="4" xfId="8" applyNumberFormat="1" applyFont="1" applyFill="1" applyBorder="1" applyAlignment="1">
      <alignment vertical="top"/>
    </xf>
    <xf numFmtId="8" fontId="5" fillId="24" borderId="4" xfId="8" applyNumberFormat="1" applyFont="1" applyFill="1" applyBorder="1" applyAlignment="1">
      <alignment vertical="top"/>
    </xf>
    <xf numFmtId="0" fontId="88" fillId="5" borderId="9" xfId="0" applyFont="1" applyFill="1" applyBorder="1" applyAlignment="1">
      <alignment horizontal="center"/>
    </xf>
    <xf numFmtId="0" fontId="88" fillId="5" borderId="10" xfId="0" applyFont="1" applyFill="1" applyBorder="1" applyAlignment="1">
      <alignment horizontal="center"/>
    </xf>
    <xf numFmtId="0" fontId="88" fillId="6" borderId="0" xfId="0" applyFont="1" applyFill="1" applyAlignment="1">
      <alignment horizontal="center"/>
    </xf>
    <xf numFmtId="0" fontId="3" fillId="6" borderId="0" xfId="0" applyFont="1" applyFill="1" applyAlignment="1" applyProtection="1">
      <alignment horizontal="center"/>
      <protection locked="0"/>
    </xf>
    <xf numFmtId="0" fontId="5" fillId="6" borderId="0" xfId="0" applyFont="1" applyFill="1" applyAlignment="1">
      <alignment horizontal="center"/>
    </xf>
    <xf numFmtId="8" fontId="3" fillId="10" borderId="15" xfId="0" applyNumberFormat="1" applyFont="1" applyFill="1" applyBorder="1" applyAlignment="1" applyProtection="1">
      <alignment horizontal="center" vertical="center" wrapText="1"/>
      <protection locked="0"/>
    </xf>
    <xf numFmtId="8" fontId="3" fillId="10" borderId="15" xfId="0" applyNumberFormat="1" applyFont="1" applyFill="1" applyBorder="1" applyAlignment="1">
      <alignment horizontal="center"/>
    </xf>
    <xf numFmtId="8" fontId="3" fillId="7" borderId="18" xfId="0" applyNumberFormat="1" applyFont="1" applyFill="1" applyBorder="1" applyAlignment="1">
      <alignment horizontal="center"/>
    </xf>
    <xf numFmtId="190" fontId="3" fillId="6" borderId="5" xfId="0" applyNumberFormat="1" applyFont="1" applyFill="1" applyBorder="1"/>
    <xf numFmtId="8" fontId="3" fillId="6" borderId="5" xfId="0" applyNumberFormat="1" applyFont="1" applyFill="1" applyBorder="1"/>
    <xf numFmtId="191" fontId="3" fillId="6" borderId="5" xfId="0" applyNumberFormat="1" applyFont="1" applyFill="1" applyBorder="1"/>
    <xf numFmtId="0" fontId="88" fillId="5" borderId="9" xfId="0" applyFont="1" applyFill="1" applyBorder="1" applyAlignment="1" applyProtection="1">
      <alignment horizontal="center"/>
      <protection locked="0"/>
    </xf>
    <xf numFmtId="0" fontId="88" fillId="5" borderId="10" xfId="0" applyFont="1" applyFill="1" applyBorder="1" applyAlignment="1" applyProtection="1">
      <alignment horizontal="center"/>
      <protection locked="0"/>
    </xf>
    <xf numFmtId="0" fontId="5" fillId="5" borderId="0" xfId="0" applyFont="1" applyFill="1"/>
    <xf numFmtId="14" fontId="3" fillId="6" borderId="23" xfId="0" quotePrefix="1" applyNumberFormat="1" applyFont="1" applyFill="1" applyBorder="1" applyAlignment="1" applyProtection="1">
      <alignment horizontal="center"/>
      <protection locked="0"/>
    </xf>
    <xf numFmtId="0" fontId="5" fillId="6" borderId="11" xfId="0" applyFont="1" applyFill="1" applyBorder="1"/>
    <xf numFmtId="0" fontId="15" fillId="9" borderId="0" xfId="0" applyFont="1" applyFill="1" applyAlignment="1">
      <alignment horizontal="center"/>
    </xf>
    <xf numFmtId="0" fontId="5" fillId="9" borderId="11" xfId="0" applyFont="1" applyFill="1" applyBorder="1"/>
    <xf numFmtId="4" fontId="24" fillId="10" borderId="27" xfId="0" applyNumberFormat="1" applyFont="1" applyFill="1" applyBorder="1" applyAlignment="1" applyProtection="1">
      <alignment horizontal="left"/>
      <protection locked="0"/>
    </xf>
    <xf numFmtId="10" fontId="5" fillId="10" borderId="4" xfId="0" applyNumberFormat="1" applyFont="1" applyFill="1" applyBorder="1"/>
    <xf numFmtId="4" fontId="24" fillId="10" borderId="4" xfId="0" applyNumberFormat="1" applyFont="1" applyFill="1" applyBorder="1" applyAlignment="1" applyProtection="1">
      <alignment horizontal="left"/>
      <protection locked="0"/>
    </xf>
    <xf numFmtId="0" fontId="24" fillId="11" borderId="4" xfId="0" applyFont="1" applyFill="1" applyBorder="1" applyAlignment="1">
      <alignment horizontal="left"/>
    </xf>
    <xf numFmtId="0" fontId="16" fillId="9" borderId="0" xfId="0" applyFont="1" applyFill="1" applyAlignment="1">
      <alignment horizontal="center"/>
    </xf>
    <xf numFmtId="4" fontId="24" fillId="13" borderId="27" xfId="0" applyNumberFormat="1" applyFont="1" applyFill="1" applyBorder="1" applyAlignment="1" applyProtection="1">
      <alignment horizontal="left"/>
      <protection locked="0"/>
    </xf>
    <xf numFmtId="10" fontId="5" fillId="14" borderId="9" xfId="8" applyNumberFormat="1" applyFont="1" applyFill="1" applyBorder="1" applyAlignment="1">
      <alignment horizontal="right"/>
    </xf>
    <xf numFmtId="0" fontId="24" fillId="12" borderId="4" xfId="0" applyFont="1" applyFill="1" applyBorder="1" applyAlignment="1">
      <alignment horizontal="left"/>
    </xf>
    <xf numFmtId="10" fontId="3" fillId="12" borderId="9" xfId="8" applyNumberFormat="1" applyFont="1" applyFill="1" applyBorder="1" applyAlignment="1">
      <alignment horizontal="right"/>
    </xf>
    <xf numFmtId="0" fontId="3" fillId="6" borderId="0" xfId="0" applyFont="1" applyFill="1" applyAlignment="1">
      <alignment horizontal="right"/>
    </xf>
    <xf numFmtId="0" fontId="24" fillId="7" borderId="4" xfId="0" applyFont="1" applyFill="1" applyBorder="1" applyAlignment="1">
      <alignment horizontal="left"/>
    </xf>
    <xf numFmtId="172" fontId="3" fillId="7" borderId="9" xfId="0" applyNumberFormat="1" applyFont="1" applyFill="1" applyBorder="1" applyAlignment="1">
      <alignment horizontal="right"/>
    </xf>
    <xf numFmtId="0" fontId="5" fillId="6" borderId="0" xfId="0" applyFont="1" applyFill="1" applyAlignment="1">
      <alignment horizontal="right"/>
    </xf>
    <xf numFmtId="14" fontId="3" fillId="6" borderId="27" xfId="0" quotePrefix="1" applyNumberFormat="1" applyFont="1" applyFill="1" applyBorder="1" applyAlignment="1" applyProtection="1">
      <alignment horizontal="center"/>
      <protection locked="0"/>
    </xf>
    <xf numFmtId="10" fontId="5" fillId="10" borderId="11" xfId="0" applyNumberFormat="1" applyFont="1" applyFill="1" applyBorder="1"/>
    <xf numFmtId="10" fontId="3" fillId="11" borderId="11" xfId="0" applyNumberFormat="1" applyFont="1" applyFill="1" applyBorder="1"/>
    <xf numFmtId="10" fontId="5" fillId="14" borderId="4" xfId="8" applyNumberFormat="1" applyFont="1" applyFill="1" applyBorder="1" applyAlignment="1">
      <alignment horizontal="right"/>
    </xf>
    <xf numFmtId="10" fontId="3" fillId="12" borderId="4" xfId="8" applyNumberFormat="1" applyFont="1" applyFill="1" applyBorder="1" applyAlignment="1">
      <alignment horizontal="right"/>
    </xf>
    <xf numFmtId="172" fontId="3" fillId="7" borderId="4" xfId="0" applyNumberFormat="1" applyFont="1" applyFill="1" applyBorder="1" applyAlignment="1">
      <alignment horizontal="right"/>
    </xf>
    <xf numFmtId="8" fontId="5" fillId="10" borderId="9" xfId="8" applyNumberFormat="1" applyFont="1" applyFill="1" applyBorder="1" applyAlignment="1">
      <alignment horizontal="right"/>
    </xf>
    <xf numFmtId="8" fontId="3" fillId="11" borderId="9" xfId="8" applyNumberFormat="1" applyFont="1" applyFill="1" applyBorder="1" applyAlignment="1">
      <alignment horizontal="right"/>
    </xf>
    <xf numFmtId="8" fontId="16" fillId="9" borderId="0" xfId="0" applyNumberFormat="1" applyFont="1" applyFill="1" applyAlignment="1">
      <alignment horizontal="center"/>
    </xf>
    <xf numFmtId="8" fontId="5" fillId="14" borderId="9" xfId="8" applyNumberFormat="1" applyFont="1" applyFill="1" applyBorder="1" applyAlignment="1">
      <alignment horizontal="right"/>
    </xf>
    <xf numFmtId="8" fontId="3" fillId="12" borderId="9" xfId="8" applyNumberFormat="1" applyFont="1" applyFill="1" applyBorder="1" applyAlignment="1">
      <alignment horizontal="right"/>
    </xf>
    <xf numFmtId="8" fontId="3" fillId="6" borderId="0" xfId="8" applyNumberFormat="1" applyFont="1" applyFill="1" applyBorder="1" applyAlignment="1">
      <alignment horizontal="right"/>
    </xf>
    <xf numFmtId="8" fontId="3" fillId="7" borderId="9" xfId="0" applyNumberFormat="1" applyFont="1" applyFill="1" applyBorder="1" applyAlignment="1">
      <alignment horizontal="right"/>
    </xf>
    <xf numFmtId="0" fontId="15" fillId="9" borderId="33" xfId="0" applyFont="1" applyFill="1" applyBorder="1" applyAlignment="1">
      <alignment horizontal="center"/>
    </xf>
    <xf numFmtId="14" fontId="3" fillId="6" borderId="27" xfId="8" applyNumberFormat="1" applyFont="1" applyFill="1" applyBorder="1" applyAlignment="1" applyProtection="1">
      <alignment horizontal="center"/>
      <protection locked="0"/>
    </xf>
    <xf numFmtId="0" fontId="5" fillId="6" borderId="34" xfId="0" applyFont="1" applyFill="1" applyBorder="1" applyProtection="1">
      <protection locked="0"/>
    </xf>
    <xf numFmtId="0" fontId="16" fillId="9" borderId="33" xfId="0" applyFont="1" applyFill="1" applyBorder="1" applyAlignment="1">
      <alignment horizontal="center"/>
    </xf>
    <xf numFmtId="0" fontId="5" fillId="6" borderId="33" xfId="0" applyFont="1" applyFill="1" applyBorder="1" applyProtection="1">
      <protection locked="0"/>
    </xf>
    <xf numFmtId="164" fontId="5" fillId="6" borderId="0" xfId="8" applyNumberFormat="1" applyFont="1" applyFill="1" applyAlignment="1">
      <alignment horizontal="center"/>
    </xf>
    <xf numFmtId="190" fontId="3" fillId="6" borderId="4" xfId="0" applyNumberFormat="1" applyFont="1" applyFill="1" applyBorder="1"/>
    <xf numFmtId="3" fontId="3" fillId="24" borderId="4" xfId="0" applyNumberFormat="1" applyFont="1" applyFill="1" applyBorder="1"/>
    <xf numFmtId="3" fontId="3" fillId="6" borderId="4" xfId="0" applyNumberFormat="1" applyFont="1" applyFill="1" applyBorder="1"/>
    <xf numFmtId="4" fontId="3" fillId="24" borderId="4" xfId="0" applyNumberFormat="1" applyFont="1" applyFill="1" applyBorder="1"/>
    <xf numFmtId="0" fontId="16" fillId="9" borderId="35" xfId="0" applyFont="1" applyFill="1" applyBorder="1" applyAlignment="1" applyProtection="1">
      <alignment horizontal="center"/>
      <protection locked="0"/>
    </xf>
    <xf numFmtId="0" fontId="16" fillId="9" borderId="36" xfId="0" applyFont="1" applyFill="1" applyBorder="1" applyAlignment="1" applyProtection="1">
      <alignment horizontal="center"/>
      <protection locked="0"/>
    </xf>
    <xf numFmtId="0" fontId="16" fillId="9" borderId="0" xfId="0" applyFont="1" applyFill="1" applyAlignment="1" applyProtection="1">
      <alignment horizontal="center"/>
      <protection locked="0"/>
    </xf>
    <xf numFmtId="0" fontId="16" fillId="6" borderId="0" xfId="0" applyFont="1" applyFill="1" applyAlignment="1" applyProtection="1">
      <alignment horizontal="center"/>
      <protection locked="0"/>
    </xf>
    <xf numFmtId="0" fontId="15" fillId="9" borderId="37" xfId="0" applyFont="1" applyFill="1" applyBorder="1" applyAlignment="1" applyProtection="1">
      <alignment horizontal="center"/>
      <protection locked="0"/>
    </xf>
    <xf numFmtId="0" fontId="15" fillId="9" borderId="38" xfId="0" applyFont="1" applyFill="1" applyBorder="1" applyAlignment="1" applyProtection="1">
      <alignment horizontal="center"/>
      <protection locked="0"/>
    </xf>
    <xf numFmtId="0" fontId="5" fillId="6" borderId="0" xfId="0" applyFont="1" applyFill="1" applyAlignment="1" applyProtection="1">
      <alignment horizontal="center"/>
      <protection locked="0"/>
    </xf>
    <xf numFmtId="49" fontId="3" fillId="6" borderId="0" xfId="8" applyNumberFormat="1" applyFont="1" applyFill="1" applyBorder="1" applyAlignment="1" applyProtection="1">
      <alignment horizontal="center" vertical="top"/>
      <protection locked="0"/>
    </xf>
    <xf numFmtId="49" fontId="3" fillId="6" borderId="4" xfId="8" applyNumberFormat="1" applyFont="1" applyFill="1" applyBorder="1" applyAlignment="1" applyProtection="1">
      <alignment horizontal="center" vertical="top"/>
      <protection locked="0"/>
    </xf>
    <xf numFmtId="49" fontId="5" fillId="6" borderId="0" xfId="8" applyNumberFormat="1" applyFont="1" applyFill="1" applyBorder="1" applyAlignment="1" applyProtection="1">
      <alignment horizontal="center" vertical="top"/>
      <protection locked="0"/>
    </xf>
    <xf numFmtId="169" fontId="5" fillId="6" borderId="9" xfId="0" applyNumberFormat="1" applyFont="1" applyFill="1" applyBorder="1" applyProtection="1">
      <protection locked="0"/>
    </xf>
    <xf numFmtId="4" fontId="5" fillId="6" borderId="0" xfId="8" applyNumberFormat="1" applyFont="1" applyFill="1" applyBorder="1" applyAlignment="1">
      <alignment horizontal="right"/>
    </xf>
    <xf numFmtId="169" fontId="5" fillId="6" borderId="11" xfId="0" applyNumberFormat="1" applyFont="1" applyFill="1" applyBorder="1" applyProtection="1">
      <protection locked="0"/>
    </xf>
    <xf numFmtId="169" fontId="5" fillId="6" borderId="9" xfId="8" applyNumberFormat="1" applyFont="1" applyFill="1" applyBorder="1" applyProtection="1">
      <protection locked="0"/>
    </xf>
    <xf numFmtId="4" fontId="5" fillId="6" borderId="0" xfId="8" applyNumberFormat="1" applyFont="1" applyFill="1" applyBorder="1" applyAlignment="1" applyProtection="1">
      <alignment horizontal="right"/>
      <protection locked="0"/>
    </xf>
    <xf numFmtId="169" fontId="5" fillId="6" borderId="11" xfId="8" applyNumberFormat="1" applyFont="1" applyFill="1" applyBorder="1" applyProtection="1">
      <protection locked="0"/>
    </xf>
    <xf numFmtId="169" fontId="5" fillId="6" borderId="9" xfId="8" applyNumberFormat="1" applyFont="1" applyFill="1" applyBorder="1" applyAlignment="1" applyProtection="1">
      <alignment wrapText="1"/>
      <protection locked="0"/>
    </xf>
    <xf numFmtId="169" fontId="5" fillId="6" borderId="11" xfId="8" applyNumberFormat="1" applyFont="1" applyFill="1" applyBorder="1" applyAlignment="1" applyProtection="1">
      <alignment wrapText="1"/>
      <protection locked="0"/>
    </xf>
    <xf numFmtId="3" fontId="5" fillId="11" borderId="11" xfId="8" applyNumberFormat="1" applyFont="1" applyFill="1" applyBorder="1"/>
    <xf numFmtId="180" fontId="5" fillId="6" borderId="0" xfId="8" applyNumberFormat="1" applyFont="1" applyFill="1" applyBorder="1"/>
    <xf numFmtId="180" fontId="5" fillId="11" borderId="11" xfId="8" applyNumberFormat="1" applyFont="1" applyFill="1" applyBorder="1"/>
    <xf numFmtId="41" fontId="5" fillId="12" borderId="4" xfId="8" applyFont="1" applyFill="1" applyBorder="1"/>
    <xf numFmtId="41" fontId="5" fillId="11" borderId="4" xfId="8" applyFont="1" applyFill="1" applyBorder="1"/>
    <xf numFmtId="41" fontId="5" fillId="11" borderId="11" xfId="8" applyFont="1" applyFill="1" applyBorder="1"/>
    <xf numFmtId="2" fontId="5" fillId="12" borderId="4" xfId="8" applyNumberFormat="1" applyFont="1" applyFill="1" applyBorder="1"/>
    <xf numFmtId="2" fontId="5" fillId="11" borderId="4" xfId="8" applyNumberFormat="1" applyFont="1" applyFill="1" applyBorder="1"/>
    <xf numFmtId="2" fontId="5" fillId="11" borderId="11" xfId="8" applyNumberFormat="1" applyFont="1" applyFill="1" applyBorder="1"/>
    <xf numFmtId="14" fontId="3" fillId="6" borderId="0" xfId="0" applyNumberFormat="1" applyFont="1" applyFill="1" applyAlignment="1" applyProtection="1">
      <alignment horizontal="center"/>
      <protection locked="0"/>
    </xf>
    <xf numFmtId="49" fontId="3" fillId="12" borderId="27" xfId="8" applyNumberFormat="1" applyFont="1" applyFill="1" applyBorder="1" applyAlignment="1" applyProtection="1">
      <alignment horizontal="center" vertical="top"/>
      <protection locked="0"/>
    </xf>
    <xf numFmtId="3" fontId="3" fillId="11" borderId="4" xfId="0" applyNumberFormat="1" applyFont="1" applyFill="1" applyBorder="1" applyAlignment="1">
      <alignment horizontal="center" vertical="center"/>
    </xf>
    <xf numFmtId="3" fontId="5" fillId="11" borderId="4" xfId="8" applyNumberFormat="1" applyFont="1" applyFill="1" applyBorder="1"/>
    <xf numFmtId="180" fontId="5" fillId="11" borderId="4" xfId="8" applyNumberFormat="1" applyFont="1" applyFill="1" applyBorder="1"/>
    <xf numFmtId="2" fontId="5" fillId="12" borderId="10" xfId="8" applyNumberFormat="1" applyFont="1" applyFill="1" applyBorder="1"/>
    <xf numFmtId="2" fontId="5" fillId="12" borderId="11" xfId="8" applyNumberFormat="1" applyFont="1" applyFill="1" applyBorder="1"/>
    <xf numFmtId="8" fontId="5" fillId="6" borderId="4" xfId="8" applyNumberFormat="1" applyFont="1" applyFill="1" applyBorder="1" applyAlignment="1">
      <alignment horizontal="right"/>
    </xf>
    <xf numFmtId="8" fontId="5" fillId="6" borderId="4" xfId="8" applyNumberFormat="1" applyFont="1" applyFill="1" applyBorder="1" applyAlignment="1" applyProtection="1">
      <alignment horizontal="right"/>
      <protection locked="0"/>
    </xf>
    <xf numFmtId="8" fontId="3" fillId="6" borderId="4" xfId="8" applyNumberFormat="1" applyFont="1" applyFill="1" applyBorder="1" applyAlignment="1">
      <alignment horizontal="right"/>
    </xf>
    <xf numFmtId="192" fontId="3" fillId="12" borderId="4" xfId="8" applyNumberFormat="1" applyFont="1" applyFill="1" applyBorder="1"/>
    <xf numFmtId="193" fontId="3" fillId="12" borderId="4" xfId="8" applyNumberFormat="1" applyFont="1" applyFill="1" applyBorder="1"/>
    <xf numFmtId="194" fontId="3" fillId="12" borderId="4" xfId="0" applyNumberFormat="1" applyFont="1" applyFill="1" applyBorder="1"/>
    <xf numFmtId="190" fontId="3" fillId="12" borderId="4" xfId="8" applyNumberFormat="1" applyFont="1" applyFill="1" applyBorder="1" applyAlignment="1" applyProtection="1">
      <alignment horizontal="center" vertical="top"/>
      <protection locked="0"/>
    </xf>
    <xf numFmtId="190" fontId="5" fillId="12" borderId="4" xfId="8" applyNumberFormat="1" applyFont="1" applyFill="1" applyBorder="1" applyAlignment="1">
      <alignment horizontal="right"/>
    </xf>
    <xf numFmtId="190" fontId="5" fillId="12" borderId="4" xfId="8" applyNumberFormat="1" applyFont="1" applyFill="1" applyBorder="1" applyAlignment="1" applyProtection="1">
      <alignment horizontal="right"/>
      <protection locked="0"/>
    </xf>
    <xf numFmtId="190" fontId="3" fillId="12" borderId="4" xfId="8" applyNumberFormat="1" applyFont="1" applyFill="1" applyBorder="1" applyAlignment="1">
      <alignment horizontal="right"/>
    </xf>
    <xf numFmtId="190" fontId="5" fillId="6" borderId="4" xfId="8" applyNumberFormat="1" applyFont="1" applyFill="1" applyBorder="1" applyAlignment="1">
      <alignment horizontal="right"/>
    </xf>
    <xf numFmtId="190" fontId="5" fillId="6" borderId="4" xfId="8" applyNumberFormat="1" applyFont="1" applyFill="1" applyBorder="1" applyAlignment="1" applyProtection="1">
      <alignment horizontal="right"/>
      <protection locked="0"/>
    </xf>
    <xf numFmtId="190" fontId="3" fillId="6" borderId="9" xfId="8" applyNumberFormat="1" applyFont="1" applyFill="1" applyBorder="1" applyAlignment="1">
      <alignment horizontal="right"/>
    </xf>
    <xf numFmtId="192" fontId="3" fillId="11" borderId="4" xfId="8" applyNumberFormat="1" applyFont="1" applyFill="1" applyBorder="1"/>
    <xf numFmtId="193" fontId="3" fillId="11" borderId="4" xfId="8" applyNumberFormat="1" applyFont="1" applyFill="1" applyBorder="1"/>
    <xf numFmtId="190" fontId="3" fillId="11" borderId="4" xfId="0" applyNumberFormat="1" applyFont="1" applyFill="1" applyBorder="1"/>
    <xf numFmtId="190" fontId="5" fillId="11" borderId="4" xfId="0" applyNumberFormat="1" applyFont="1" applyFill="1" applyBorder="1"/>
    <xf numFmtId="10" fontId="5" fillId="11" borderId="4" xfId="0" applyNumberFormat="1" applyFont="1" applyFill="1" applyBorder="1" applyAlignment="1">
      <alignment horizontal="center"/>
    </xf>
    <xf numFmtId="10" fontId="3" fillId="11" borderId="4" xfId="0" applyNumberFormat="1" applyFont="1" applyFill="1" applyBorder="1" applyAlignment="1">
      <alignment horizontal="center"/>
    </xf>
    <xf numFmtId="0" fontId="88" fillId="15" borderId="9" xfId="0" applyFont="1" applyFill="1" applyBorder="1" applyAlignment="1" applyProtection="1">
      <alignment horizontal="center"/>
      <protection locked="0"/>
    </xf>
    <xf numFmtId="0" fontId="88" fillId="15" borderId="10" xfId="0" applyFont="1" applyFill="1" applyBorder="1" applyAlignment="1" applyProtection="1">
      <alignment horizontal="center"/>
      <protection locked="0"/>
    </xf>
    <xf numFmtId="0" fontId="88" fillId="6" borderId="0" xfId="0" applyFont="1" applyFill="1" applyAlignment="1" applyProtection="1">
      <alignment horizontal="center"/>
      <protection locked="0"/>
    </xf>
    <xf numFmtId="4" fontId="88" fillId="6" borderId="37" xfId="0" applyNumberFormat="1" applyFont="1" applyFill="1" applyBorder="1" applyAlignment="1">
      <alignment horizontal="center"/>
    </xf>
    <xf numFmtId="0" fontId="88" fillId="6" borderId="37" xfId="0" applyFont="1" applyFill="1" applyBorder="1" applyAlignment="1">
      <alignment horizontal="center"/>
    </xf>
    <xf numFmtId="0" fontId="88" fillId="6" borderId="38" xfId="0" applyFont="1" applyFill="1" applyBorder="1" applyAlignment="1">
      <alignment horizontal="center"/>
    </xf>
    <xf numFmtId="0" fontId="88" fillId="6" borderId="40" xfId="0" applyFont="1" applyFill="1" applyBorder="1" applyAlignment="1">
      <alignment horizontal="center"/>
    </xf>
    <xf numFmtId="14" fontId="3" fillId="6" borderId="4" xfId="0" quotePrefix="1"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3" fillId="6" borderId="0" xfId="0" quotePrefix="1" applyFont="1" applyFill="1" applyAlignment="1" applyProtection="1">
      <alignment horizontal="center" vertical="center"/>
      <protection locked="0"/>
    </xf>
    <xf numFmtId="0" fontId="5" fillId="6" borderId="0" xfId="0" applyFont="1" applyFill="1" applyAlignment="1" applyProtection="1">
      <alignment horizontal="center" vertical="center" wrapText="1"/>
      <protection locked="0"/>
    </xf>
    <xf numFmtId="4" fontId="3" fillId="6" borderId="0" xfId="0" applyNumberFormat="1" applyFont="1" applyFill="1" applyAlignment="1">
      <alignment horizontal="center"/>
    </xf>
    <xf numFmtId="0" fontId="3" fillId="6" borderId="0" xfId="0" applyFont="1" applyFill="1" applyAlignment="1">
      <alignment horizontal="center"/>
    </xf>
    <xf numFmtId="0" fontId="3" fillId="6" borderId="23" xfId="0" applyFont="1" applyFill="1" applyBorder="1" applyAlignment="1">
      <alignment horizontal="left"/>
    </xf>
    <xf numFmtId="0" fontId="3" fillId="6" borderId="36" xfId="0" applyFont="1" applyFill="1" applyBorder="1" applyAlignment="1">
      <alignment horizontal="left"/>
    </xf>
    <xf numFmtId="0" fontId="3" fillId="6" borderId="0" xfId="0" applyFont="1" applyFill="1" applyAlignment="1">
      <alignment horizontal="left"/>
    </xf>
    <xf numFmtId="4" fontId="3" fillId="6" borderId="0" xfId="0" applyNumberFormat="1" applyFont="1" applyFill="1"/>
    <xf numFmtId="14" fontId="5" fillId="6" borderId="0" xfId="0" applyNumberFormat="1" applyFont="1" applyFill="1" applyAlignment="1">
      <alignment horizontal="center"/>
    </xf>
    <xf numFmtId="4" fontId="89" fillId="6" borderId="4" xfId="0" applyNumberFormat="1" applyFont="1" applyFill="1" applyBorder="1"/>
    <xf numFmtId="10" fontId="5" fillId="6" borderId="4" xfId="20" applyNumberFormat="1" applyFont="1" applyFill="1" applyBorder="1" applyAlignment="1">
      <alignment horizontal="center"/>
    </xf>
    <xf numFmtId="10" fontId="5" fillId="6" borderId="0" xfId="20" applyNumberFormat="1" applyFont="1" applyFill="1" applyBorder="1" applyAlignment="1">
      <alignment horizontal="center"/>
    </xf>
    <xf numFmtId="10" fontId="3" fillId="6" borderId="4" xfId="20" applyNumberFormat="1" applyFont="1" applyFill="1" applyBorder="1" applyAlignment="1">
      <alignment horizontal="center"/>
    </xf>
    <xf numFmtId="9" fontId="8" fillId="6" borderId="0" xfId="20" applyFont="1" applyFill="1" applyBorder="1" applyAlignment="1">
      <alignment horizontal="center"/>
    </xf>
    <xf numFmtId="9" fontId="3" fillId="6" borderId="0" xfId="0" applyNumberFormat="1" applyFont="1" applyFill="1" applyAlignment="1">
      <alignment horizontal="center"/>
    </xf>
    <xf numFmtId="0" fontId="3" fillId="6" borderId="27" xfId="0" applyFont="1" applyFill="1" applyBorder="1" applyAlignment="1">
      <alignment horizontal="left"/>
    </xf>
    <xf numFmtId="0" fontId="90" fillId="6" borderId="0" xfId="0" applyFont="1" applyFill="1" applyAlignment="1">
      <alignment horizontal="left"/>
    </xf>
    <xf numFmtId="0" fontId="90" fillId="6" borderId="0" xfId="0" quotePrefix="1" applyFont="1" applyFill="1" applyAlignment="1">
      <alignment horizontal="center"/>
    </xf>
    <xf numFmtId="0" fontId="90" fillId="6" borderId="0" xfId="0" applyFont="1" applyFill="1" applyAlignment="1">
      <alignment horizontal="center"/>
    </xf>
    <xf numFmtId="10" fontId="3" fillId="6" borderId="0" xfId="0" applyNumberFormat="1" applyFont="1" applyFill="1" applyAlignment="1">
      <alignment horizontal="center"/>
    </xf>
    <xf numFmtId="9" fontId="8" fillId="6" borderId="0" xfId="20" applyFont="1" applyFill="1" applyBorder="1"/>
    <xf numFmtId="4" fontId="5" fillId="6" borderId="0" xfId="0" applyNumberFormat="1" applyFont="1" applyFill="1" applyProtection="1">
      <protection locked="0"/>
    </xf>
    <xf numFmtId="165" fontId="8" fillId="6" borderId="0" xfId="20" applyNumberFormat="1" applyFont="1" applyFill="1" applyBorder="1"/>
    <xf numFmtId="4" fontId="5" fillId="6" borderId="0" xfId="0" applyNumberFormat="1" applyFont="1" applyFill="1" applyAlignment="1" applyProtection="1">
      <alignment horizontal="center"/>
      <protection locked="0"/>
    </xf>
    <xf numFmtId="9" fontId="67" fillId="6" borderId="0" xfId="20" applyFont="1" applyFill="1" applyBorder="1" applyAlignment="1">
      <alignment horizontal="center"/>
    </xf>
    <xf numFmtId="10" fontId="5" fillId="6" borderId="4" xfId="20" applyNumberFormat="1" applyFont="1" applyFill="1" applyBorder="1" applyAlignment="1">
      <alignment horizontal="left"/>
    </xf>
    <xf numFmtId="9" fontId="5" fillId="6" borderId="0" xfId="0" applyNumberFormat="1" applyFont="1" applyFill="1"/>
    <xf numFmtId="175" fontId="3" fillId="6" borderId="0" xfId="0" applyNumberFormat="1" applyFont="1" applyFill="1" applyAlignment="1">
      <alignment horizontal="right"/>
    </xf>
    <xf numFmtId="176" fontId="3" fillId="6" borderId="0" xfId="0" applyNumberFormat="1" applyFont="1" applyFill="1" applyAlignment="1">
      <alignment horizontal="center"/>
    </xf>
    <xf numFmtId="172" fontId="67" fillId="6" borderId="0" xfId="0" applyNumberFormat="1" applyFont="1" applyFill="1"/>
    <xf numFmtId="10" fontId="5" fillId="6" borderId="0" xfId="0" applyNumberFormat="1" applyFont="1" applyFill="1"/>
    <xf numFmtId="174" fontId="5" fillId="6" borderId="0" xfId="0" applyNumberFormat="1" applyFont="1" applyFill="1" applyAlignment="1">
      <alignment horizontal="right"/>
    </xf>
    <xf numFmtId="41" fontId="67" fillId="6" borderId="0" xfId="0" applyNumberFormat="1" applyFont="1" applyFill="1"/>
    <xf numFmtId="10" fontId="5" fillId="6" borderId="0" xfId="8" applyNumberFormat="1" applyFont="1" applyFill="1" applyBorder="1"/>
    <xf numFmtId="4" fontId="67" fillId="6" borderId="0" xfId="0" applyNumberFormat="1" applyFont="1" applyFill="1"/>
    <xf numFmtId="167" fontId="67" fillId="6" borderId="0" xfId="0" applyNumberFormat="1" applyFont="1" applyFill="1"/>
    <xf numFmtId="10" fontId="5" fillId="6" borderId="0" xfId="0" applyNumberFormat="1" applyFont="1" applyFill="1" applyAlignment="1">
      <alignment horizontal="right"/>
    </xf>
    <xf numFmtId="171" fontId="67" fillId="6" borderId="0" xfId="0" applyNumberFormat="1" applyFont="1" applyFill="1"/>
    <xf numFmtId="9" fontId="67" fillId="6" borderId="0" xfId="0" applyNumberFormat="1" applyFont="1" applyFill="1"/>
    <xf numFmtId="0" fontId="3" fillId="8" borderId="0" xfId="0" applyFont="1" applyFill="1"/>
    <xf numFmtId="172" fontId="67" fillId="8" borderId="0" xfId="0" applyNumberFormat="1" applyFont="1" applyFill="1"/>
    <xf numFmtId="10" fontId="5" fillId="8" borderId="0" xfId="0" applyNumberFormat="1" applyFont="1" applyFill="1"/>
    <xf numFmtId="0" fontId="67" fillId="8" borderId="0" xfId="0" applyFont="1" applyFill="1"/>
    <xf numFmtId="41" fontId="3" fillId="8" borderId="0" xfId="0" applyNumberFormat="1" applyFont="1" applyFill="1"/>
    <xf numFmtId="0" fontId="5" fillId="8" borderId="0" xfId="0" applyFont="1" applyFill="1"/>
    <xf numFmtId="14" fontId="3" fillId="8" borderId="0" xfId="0" applyNumberFormat="1" applyFont="1" applyFill="1" applyAlignment="1">
      <alignment horizontal="right"/>
    </xf>
    <xf numFmtId="175" fontId="3" fillId="8" borderId="0" xfId="0" applyNumberFormat="1" applyFont="1" applyFill="1" applyAlignment="1">
      <alignment horizontal="right"/>
    </xf>
    <xf numFmtId="176" fontId="3" fillId="8" borderId="0" xfId="0" applyNumberFormat="1" applyFont="1" applyFill="1" applyAlignment="1">
      <alignment horizontal="center"/>
    </xf>
    <xf numFmtId="0" fontId="3" fillId="6" borderId="41" xfId="0" applyFont="1" applyFill="1" applyBorder="1"/>
    <xf numFmtId="0" fontId="3" fillId="6" borderId="42" xfId="0" applyFont="1" applyFill="1" applyBorder="1"/>
    <xf numFmtId="0" fontId="3" fillId="6" borderId="42" xfId="0" applyFont="1" applyFill="1" applyBorder="1" applyAlignment="1">
      <alignment horizontal="center"/>
    </xf>
    <xf numFmtId="0" fontId="5" fillId="6" borderId="42" xfId="0" applyFont="1" applyFill="1" applyBorder="1" applyAlignment="1">
      <alignment horizontal="center"/>
    </xf>
    <xf numFmtId="4" fontId="3" fillId="6" borderId="42" xfId="0" applyNumberFormat="1" applyFont="1" applyFill="1" applyBorder="1" applyAlignment="1">
      <alignment horizontal="center"/>
    </xf>
    <xf numFmtId="0" fontId="3" fillId="6" borderId="43" xfId="0" applyFont="1" applyFill="1" applyBorder="1" applyAlignment="1">
      <alignment horizontal="center"/>
    </xf>
    <xf numFmtId="0" fontId="5" fillId="6" borderId="3" xfId="0" applyFont="1" applyFill="1" applyBorder="1"/>
    <xf numFmtId="10" fontId="5" fillId="6" borderId="4" xfId="0" applyNumberFormat="1" applyFont="1" applyFill="1" applyBorder="1"/>
    <xf numFmtId="174" fontId="5" fillId="6" borderId="4" xfId="0" applyNumberFormat="1" applyFont="1" applyFill="1" applyBorder="1" applyAlignment="1">
      <alignment horizontal="right"/>
    </xf>
    <xf numFmtId="10" fontId="5" fillId="6" borderId="4" xfId="8" applyNumberFormat="1" applyFont="1" applyFill="1" applyBorder="1"/>
    <xf numFmtId="173" fontId="5" fillId="6" borderId="4" xfId="0" applyNumberFormat="1" applyFont="1" applyFill="1" applyBorder="1"/>
    <xf numFmtId="10" fontId="5" fillId="6" borderId="44" xfId="0" applyNumberFormat="1" applyFont="1" applyFill="1" applyBorder="1"/>
    <xf numFmtId="9" fontId="5" fillId="6" borderId="4" xfId="0" applyNumberFormat="1" applyFont="1" applyFill="1" applyBorder="1"/>
    <xf numFmtId="10" fontId="5" fillId="6" borderId="5" xfId="0" applyNumberFormat="1" applyFont="1" applyFill="1" applyBorder="1"/>
    <xf numFmtId="0" fontId="3" fillId="6" borderId="6" xfId="0" applyFont="1" applyFill="1" applyBorder="1"/>
    <xf numFmtId="174" fontId="5" fillId="6" borderId="45" xfId="0" applyNumberFormat="1" applyFont="1" applyFill="1" applyBorder="1" applyAlignment="1">
      <alignment horizontal="right"/>
    </xf>
    <xf numFmtId="173" fontId="5" fillId="6" borderId="47" xfId="0" applyNumberFormat="1" applyFont="1" applyFill="1" applyBorder="1"/>
    <xf numFmtId="173" fontId="5" fillId="6" borderId="45" xfId="0" applyNumberFormat="1" applyFont="1" applyFill="1" applyBorder="1"/>
    <xf numFmtId="9" fontId="3" fillId="6" borderId="7" xfId="0" applyNumberFormat="1" applyFont="1" applyFill="1" applyBorder="1"/>
    <xf numFmtId="0" fontId="3" fillId="6" borderId="48" xfId="0" applyFont="1" applyFill="1" applyBorder="1"/>
    <xf numFmtId="41" fontId="3" fillId="6" borderId="48" xfId="0" applyNumberFormat="1" applyFont="1" applyFill="1" applyBorder="1"/>
    <xf numFmtId="9" fontId="3" fillId="6" borderId="48" xfId="0" applyNumberFormat="1" applyFont="1" applyFill="1" applyBorder="1"/>
    <xf numFmtId="174" fontId="5" fillId="6" borderId="48" xfId="0" applyNumberFormat="1" applyFont="1" applyFill="1" applyBorder="1" applyAlignment="1">
      <alignment horizontal="right"/>
    </xf>
    <xf numFmtId="167" fontId="3" fillId="6" borderId="48" xfId="0" applyNumberFormat="1" applyFont="1" applyFill="1" applyBorder="1"/>
    <xf numFmtId="9" fontId="3" fillId="6" borderId="48" xfId="8" applyNumberFormat="1" applyFont="1" applyFill="1" applyBorder="1"/>
    <xf numFmtId="173" fontId="5" fillId="6" borderId="48" xfId="0" applyNumberFormat="1" applyFont="1" applyFill="1" applyBorder="1"/>
    <xf numFmtId="1" fontId="3" fillId="6" borderId="48" xfId="0" applyNumberFormat="1" applyFont="1" applyFill="1" applyBorder="1"/>
    <xf numFmtId="9" fontId="3" fillId="6" borderId="49" xfId="0" applyNumberFormat="1" applyFont="1" applyFill="1" applyBorder="1"/>
    <xf numFmtId="4" fontId="3" fillId="6" borderId="48" xfId="0" applyNumberFormat="1" applyFont="1" applyFill="1" applyBorder="1"/>
    <xf numFmtId="170" fontId="3" fillId="6" borderId="48" xfId="0" applyNumberFormat="1" applyFont="1" applyFill="1" applyBorder="1"/>
    <xf numFmtId="9" fontId="3" fillId="6" borderId="51" xfId="20" applyFont="1" applyFill="1" applyBorder="1" applyAlignment="1">
      <alignment horizontal="center"/>
    </xf>
    <xf numFmtId="9" fontId="5" fillId="6" borderId="44" xfId="20" applyFont="1" applyFill="1" applyBorder="1" applyAlignment="1">
      <alignment horizontal="center"/>
    </xf>
    <xf numFmtId="0" fontId="5" fillId="6" borderId="46" xfId="0" applyFont="1" applyFill="1" applyBorder="1"/>
    <xf numFmtId="0" fontId="5" fillId="6" borderId="55" xfId="0" applyFont="1" applyFill="1" applyBorder="1" applyAlignment="1">
      <alignment horizontal="center"/>
    </xf>
    <xf numFmtId="41" fontId="5" fillId="6" borderId="0" xfId="0" applyNumberFormat="1" applyFont="1" applyFill="1"/>
    <xf numFmtId="41" fontId="5" fillId="6" borderId="56" xfId="0" applyNumberFormat="1" applyFont="1" applyFill="1" applyBorder="1"/>
    <xf numFmtId="0" fontId="5" fillId="6" borderId="57" xfId="0" applyFont="1" applyFill="1" applyBorder="1"/>
    <xf numFmtId="41" fontId="5" fillId="6" borderId="58" xfId="0" applyNumberFormat="1" applyFont="1" applyFill="1" applyBorder="1"/>
    <xf numFmtId="41" fontId="3" fillId="6" borderId="59" xfId="0" applyNumberFormat="1" applyFont="1" applyFill="1" applyBorder="1"/>
    <xf numFmtId="41" fontId="3" fillId="6" borderId="60" xfId="0" applyNumberFormat="1" applyFont="1" applyFill="1" applyBorder="1"/>
    <xf numFmtId="0" fontId="3" fillId="6" borderId="51" xfId="0" applyFont="1" applyFill="1" applyBorder="1" applyAlignment="1">
      <alignment horizontal="center"/>
    </xf>
    <xf numFmtId="41" fontId="3" fillId="6" borderId="51" xfId="0" applyNumberFormat="1" applyFont="1" applyFill="1" applyBorder="1"/>
    <xf numFmtId="0" fontId="3" fillId="6" borderId="2" xfId="0" applyFont="1" applyFill="1" applyBorder="1" applyAlignment="1">
      <alignment horizontal="center"/>
    </xf>
    <xf numFmtId="9" fontId="5" fillId="8" borderId="61" xfId="20" applyFont="1" applyFill="1" applyBorder="1" applyAlignment="1">
      <alignment horizontal="center"/>
    </xf>
    <xf numFmtId="9" fontId="5" fillId="8" borderId="62" xfId="20" applyFont="1" applyFill="1" applyBorder="1" applyAlignment="1">
      <alignment horizontal="center"/>
    </xf>
    <xf numFmtId="8" fontId="5" fillId="6" borderId="9" xfId="20" applyNumberFormat="1" applyFont="1" applyFill="1" applyBorder="1" applyAlignment="1">
      <alignment horizontal="right"/>
    </xf>
    <xf numFmtId="8" fontId="3" fillId="6" borderId="9" xfId="20" applyNumberFormat="1" applyFont="1" applyFill="1" applyBorder="1" applyAlignment="1">
      <alignment horizontal="right"/>
    </xf>
    <xf numFmtId="8" fontId="5" fillId="6" borderId="0" xfId="8" applyNumberFormat="1" applyFont="1" applyFill="1" applyBorder="1" applyAlignment="1">
      <alignment horizontal="center"/>
    </xf>
    <xf numFmtId="8" fontId="5" fillId="6" borderId="9" xfId="0" applyNumberFormat="1" applyFont="1" applyFill="1" applyBorder="1" applyAlignment="1">
      <alignment horizontal="center"/>
    </xf>
    <xf numFmtId="8" fontId="5" fillId="6" borderId="9" xfId="0" applyNumberFormat="1" applyFont="1" applyFill="1" applyBorder="1" applyAlignment="1" applyProtection="1">
      <alignment horizontal="right"/>
      <protection locked="0"/>
    </xf>
    <xf numFmtId="8" fontId="5" fillId="6" borderId="9" xfId="0" applyNumberFormat="1" applyFont="1" applyFill="1" applyBorder="1" applyAlignment="1">
      <alignment horizontal="right"/>
    </xf>
    <xf numFmtId="8" fontId="3" fillId="6" borderId="9" xfId="0" applyNumberFormat="1" applyFont="1" applyFill="1" applyBorder="1" applyAlignment="1">
      <alignment horizontal="right"/>
    </xf>
    <xf numFmtId="190" fontId="5" fillId="6" borderId="4" xfId="0" applyNumberFormat="1" applyFont="1" applyFill="1" applyBorder="1"/>
    <xf numFmtId="190" fontId="3" fillId="6" borderId="45" xfId="0" applyNumberFormat="1" applyFont="1" applyFill="1" applyBorder="1"/>
    <xf numFmtId="10" fontId="3" fillId="6" borderId="4" xfId="0" applyNumberFormat="1" applyFont="1" applyFill="1" applyBorder="1"/>
    <xf numFmtId="8" fontId="5" fillId="6" borderId="4" xfId="0" applyNumberFormat="1" applyFont="1" applyFill="1" applyBorder="1"/>
    <xf numFmtId="8" fontId="3" fillId="6" borderId="45" xfId="0" applyNumberFormat="1" applyFont="1" applyFill="1" applyBorder="1"/>
    <xf numFmtId="10" fontId="3" fillId="6" borderId="5" xfId="0" applyNumberFormat="1" applyFont="1" applyFill="1" applyBorder="1"/>
    <xf numFmtId="0" fontId="3" fillId="6" borderId="50" xfId="0" applyFont="1" applyFill="1" applyBorder="1" applyAlignment="1">
      <alignment horizontal="center"/>
    </xf>
    <xf numFmtId="0" fontId="3" fillId="6" borderId="28" xfId="0" applyFont="1" applyFill="1" applyBorder="1" applyAlignment="1">
      <alignment horizontal="center"/>
    </xf>
    <xf numFmtId="8" fontId="5" fillId="6" borderId="52" xfId="0" applyNumberFormat="1" applyFont="1" applyFill="1" applyBorder="1"/>
    <xf numFmtId="8" fontId="3" fillId="6" borderId="54" xfId="0" applyNumberFormat="1" applyFont="1" applyFill="1" applyBorder="1"/>
    <xf numFmtId="8" fontId="5" fillId="8" borderId="52" xfId="0" applyNumberFormat="1" applyFont="1" applyFill="1" applyBorder="1"/>
    <xf numFmtId="8" fontId="3" fillId="6" borderId="63" xfId="0" applyNumberFormat="1" applyFont="1" applyFill="1" applyBorder="1"/>
    <xf numFmtId="41" fontId="3" fillId="6" borderId="59" xfId="0" applyNumberFormat="1" applyFont="1" applyFill="1" applyBorder="1" applyAlignment="1">
      <alignment horizontal="center"/>
    </xf>
    <xf numFmtId="0" fontId="88" fillId="15" borderId="39" xfId="0" applyFont="1" applyFill="1" applyBorder="1" applyAlignment="1" applyProtection="1">
      <alignment horizontal="center"/>
      <protection locked="0"/>
    </xf>
    <xf numFmtId="0" fontId="88" fillId="15" borderId="17" xfId="0" applyFont="1" applyFill="1" applyBorder="1" applyAlignment="1" applyProtection="1">
      <alignment horizontal="center"/>
      <protection locked="0"/>
    </xf>
    <xf numFmtId="4" fontId="5" fillId="6" borderId="0" xfId="20" applyNumberFormat="1" applyFont="1" applyFill="1" applyBorder="1" applyAlignment="1">
      <alignment horizontal="center"/>
    </xf>
    <xf numFmtId="0" fontId="3" fillId="6" borderId="33" xfId="0" applyFont="1" applyFill="1" applyBorder="1" applyAlignment="1">
      <alignment horizontal="left"/>
    </xf>
    <xf numFmtId="14" fontId="3" fillId="6" borderId="0" xfId="0" applyNumberFormat="1" applyFont="1" applyFill="1"/>
    <xf numFmtId="4" fontId="5" fillId="6" borderId="0" xfId="20" applyNumberFormat="1" applyFont="1" applyFill="1" applyBorder="1"/>
    <xf numFmtId="14" fontId="3" fillId="6" borderId="0" xfId="0" applyNumberFormat="1" applyFont="1" applyFill="1" applyAlignment="1">
      <alignment horizontal="right"/>
    </xf>
    <xf numFmtId="176" fontId="67" fillId="6" borderId="0" xfId="0" applyNumberFormat="1" applyFont="1" applyFill="1" applyAlignment="1">
      <alignment horizontal="center"/>
    </xf>
    <xf numFmtId="172" fontId="3" fillId="6" borderId="0" xfId="0" applyNumberFormat="1" applyFont="1" applyFill="1"/>
    <xf numFmtId="1" fontId="3" fillId="6" borderId="0" xfId="0" applyNumberFormat="1" applyFont="1" applyFill="1"/>
    <xf numFmtId="171" fontId="3" fillId="6" borderId="0" xfId="0" applyNumberFormat="1" applyFont="1" applyFill="1"/>
    <xf numFmtId="9" fontId="3" fillId="6" borderId="0" xfId="0" applyNumberFormat="1" applyFont="1" applyFill="1"/>
    <xf numFmtId="167" fontId="3" fillId="6" borderId="0" xfId="0" applyNumberFormat="1" applyFont="1" applyFill="1"/>
    <xf numFmtId="9" fontId="3" fillId="6" borderId="0" xfId="8" applyNumberFormat="1" applyFont="1" applyFill="1" applyBorder="1"/>
    <xf numFmtId="170" fontId="3" fillId="6" borderId="0" xfId="0" applyNumberFormat="1" applyFont="1" applyFill="1"/>
    <xf numFmtId="172" fontId="5" fillId="6" borderId="0" xfId="0" applyNumberFormat="1" applyFont="1" applyFill="1"/>
    <xf numFmtId="0" fontId="3" fillId="6" borderId="4" xfId="0" quotePrefix="1" applyFont="1" applyFill="1" applyBorder="1" applyAlignment="1">
      <alignment horizontal="center"/>
    </xf>
    <xf numFmtId="14" fontId="3" fillId="17" borderId="4" xfId="0" applyNumberFormat="1" applyFont="1" applyFill="1" applyBorder="1" applyAlignment="1">
      <alignment horizontal="center"/>
    </xf>
    <xf numFmtId="0" fontId="26" fillId="7" borderId="64" xfId="0" applyFont="1" applyFill="1" applyBorder="1" applyAlignment="1">
      <alignment horizontal="center"/>
    </xf>
    <xf numFmtId="3" fontId="26" fillId="7" borderId="64" xfId="0" applyNumberFormat="1" applyFont="1" applyFill="1" applyBorder="1"/>
    <xf numFmtId="3" fontId="26" fillId="7" borderId="65" xfId="0" applyNumberFormat="1" applyFont="1" applyFill="1" applyBorder="1"/>
    <xf numFmtId="0" fontId="92" fillId="9" borderId="33" xfId="0" applyFont="1" applyFill="1" applyBorder="1" applyAlignment="1">
      <alignment horizontal="left"/>
    </xf>
    <xf numFmtId="0" fontId="5" fillId="6" borderId="4" xfId="0" applyFont="1" applyFill="1" applyBorder="1" applyAlignment="1">
      <alignment horizontal="center"/>
    </xf>
    <xf numFmtId="41" fontId="5" fillId="6" borderId="4" xfId="0" applyNumberFormat="1" applyFont="1" applyFill="1" applyBorder="1" applyProtection="1">
      <protection locked="0"/>
    </xf>
    <xf numFmtId="41" fontId="5" fillId="6" borderId="4" xfId="0" applyNumberFormat="1" applyFont="1" applyFill="1" applyBorder="1" applyAlignment="1" applyProtection="1">
      <alignment horizontal="center"/>
      <protection locked="0"/>
    </xf>
    <xf numFmtId="0" fontId="26" fillId="6" borderId="13" xfId="0" applyFont="1" applyFill="1" applyBorder="1"/>
    <xf numFmtId="41" fontId="26" fillId="6" borderId="0" xfId="0" applyNumberFormat="1" applyFont="1" applyFill="1"/>
    <xf numFmtId="0" fontId="93" fillId="18" borderId="4" xfId="0" applyFont="1" applyFill="1" applyBorder="1" applyAlignment="1">
      <alignment horizontal="left"/>
    </xf>
    <xf numFmtId="0" fontId="94" fillId="9" borderId="4" xfId="0" applyFont="1" applyFill="1" applyBorder="1"/>
    <xf numFmtId="41" fontId="5" fillId="6" borderId="4" xfId="8" applyFont="1" applyFill="1" applyBorder="1"/>
    <xf numFmtId="4" fontId="5" fillId="6" borderId="4" xfId="8" applyNumberFormat="1" applyFont="1" applyFill="1" applyBorder="1" applyProtection="1">
      <protection locked="0"/>
    </xf>
    <xf numFmtId="9" fontId="5" fillId="6" borderId="4" xfId="0" applyNumberFormat="1" applyFont="1" applyFill="1" applyBorder="1" applyAlignment="1" applyProtection="1">
      <alignment horizontal="center"/>
      <protection locked="0"/>
    </xf>
    <xf numFmtId="172" fontId="5" fillId="6" borderId="4" xfId="0" applyNumberFormat="1" applyFont="1" applyFill="1" applyBorder="1" applyProtection="1">
      <protection locked="0"/>
    </xf>
    <xf numFmtId="0" fontId="26" fillId="6" borderId="15" xfId="0" applyFont="1" applyFill="1" applyBorder="1"/>
    <xf numFmtId="0" fontId="95" fillId="13" borderId="4" xfId="0" applyFont="1" applyFill="1" applyBorder="1"/>
    <xf numFmtId="0" fontId="96" fillId="9" borderId="4" xfId="0" applyFont="1" applyFill="1" applyBorder="1"/>
    <xf numFmtId="3" fontId="26" fillId="6" borderId="4" xfId="0" applyNumberFormat="1" applyFont="1" applyFill="1" applyBorder="1"/>
    <xf numFmtId="0" fontId="26" fillId="21" borderId="4" xfId="0" applyFont="1" applyFill="1" applyBorder="1"/>
    <xf numFmtId="0" fontId="97" fillId="9" borderId="4" xfId="0" applyFont="1" applyFill="1" applyBorder="1"/>
    <xf numFmtId="0" fontId="5" fillId="6" borderId="15" xfId="0" applyFont="1" applyFill="1" applyBorder="1"/>
    <xf numFmtId="0" fontId="26" fillId="11" borderId="4" xfId="0" applyFont="1" applyFill="1" applyBorder="1"/>
    <xf numFmtId="0" fontId="98" fillId="9" borderId="4" xfId="0" applyFont="1" applyFill="1" applyBorder="1"/>
    <xf numFmtId="0" fontId="5" fillId="6" borderId="66" xfId="0" applyFont="1" applyFill="1" applyBorder="1"/>
    <xf numFmtId="0" fontId="5" fillId="6" borderId="67" xfId="0" applyFont="1" applyFill="1" applyBorder="1"/>
    <xf numFmtId="0" fontId="5" fillId="6" borderId="68" xfId="0" applyFont="1" applyFill="1" applyBorder="1"/>
    <xf numFmtId="0" fontId="24" fillId="7" borderId="4" xfId="0" applyFont="1" applyFill="1" applyBorder="1"/>
    <xf numFmtId="41" fontId="5" fillId="6" borderId="0" xfId="0" applyNumberFormat="1" applyFont="1" applyFill="1" applyAlignment="1">
      <alignment horizontal="center"/>
    </xf>
    <xf numFmtId="0" fontId="92" fillId="9" borderId="4" xfId="0" applyFont="1" applyFill="1" applyBorder="1" applyAlignment="1">
      <alignment horizontal="left"/>
    </xf>
    <xf numFmtId="41" fontId="5" fillId="6" borderId="4" xfId="0" applyNumberFormat="1" applyFont="1" applyFill="1" applyBorder="1" applyAlignment="1">
      <alignment horizontal="center"/>
    </xf>
    <xf numFmtId="41" fontId="5" fillId="6" borderId="4" xfId="0" applyNumberFormat="1" applyFont="1" applyFill="1" applyBorder="1"/>
    <xf numFmtId="0" fontId="25" fillId="6" borderId="4" xfId="0" applyFont="1" applyFill="1" applyBorder="1" applyProtection="1">
      <protection locked="0"/>
    </xf>
    <xf numFmtId="0" fontId="92" fillId="6" borderId="39" xfId="0" applyFont="1" applyFill="1" applyBorder="1" applyAlignment="1">
      <alignment horizontal="left"/>
    </xf>
    <xf numFmtId="41" fontId="5" fillId="6" borderId="0" xfId="0" applyNumberFormat="1" applyFont="1" applyFill="1" applyAlignment="1">
      <alignment horizontal="right"/>
    </xf>
    <xf numFmtId="9" fontId="5" fillId="6" borderId="0" xfId="20" applyFont="1" applyFill="1" applyBorder="1" applyAlignment="1">
      <alignment horizontal="right"/>
    </xf>
    <xf numFmtId="168" fontId="5" fillId="6" borderId="0" xfId="0" applyNumberFormat="1" applyFont="1" applyFill="1" applyAlignment="1">
      <alignment horizontal="right"/>
    </xf>
    <xf numFmtId="9" fontId="5" fillId="6" borderId="0" xfId="20" applyFont="1" applyFill="1" applyBorder="1"/>
    <xf numFmtId="168" fontId="5" fillId="6" borderId="0" xfId="0" applyNumberFormat="1" applyFont="1" applyFill="1"/>
    <xf numFmtId="8" fontId="21" fillId="17" borderId="4" xfId="20" applyNumberFormat="1" applyFont="1" applyFill="1" applyBorder="1" applyAlignment="1">
      <alignment horizontal="right"/>
    </xf>
    <xf numFmtId="8" fontId="23" fillId="7" borderId="4" xfId="20" applyNumberFormat="1" applyFont="1" applyFill="1" applyBorder="1" applyAlignment="1">
      <alignment horizontal="right"/>
    </xf>
    <xf numFmtId="8" fontId="5" fillId="6" borderId="4" xfId="8" applyNumberFormat="1" applyFont="1" applyFill="1" applyBorder="1" applyProtection="1">
      <protection locked="0"/>
    </xf>
    <xf numFmtId="7" fontId="5" fillId="6" borderId="4" xfId="0" applyNumberFormat="1" applyFont="1" applyFill="1" applyBorder="1" applyProtection="1">
      <protection locked="0"/>
    </xf>
    <xf numFmtId="7" fontId="3" fillId="7" borderId="4" xfId="0" applyNumberFormat="1" applyFont="1" applyFill="1" applyBorder="1"/>
    <xf numFmtId="8" fontId="25" fillId="6" borderId="0" xfId="0" applyNumberFormat="1" applyFont="1" applyFill="1" applyAlignment="1">
      <alignment horizontal="left"/>
    </xf>
    <xf numFmtId="164" fontId="25" fillId="6" borderId="0" xfId="0" applyNumberFormat="1" applyFont="1" applyFill="1" applyAlignment="1">
      <alignment horizontal="left"/>
    </xf>
    <xf numFmtId="3" fontId="25" fillId="6" borderId="0" xfId="0" applyNumberFormat="1" applyFont="1" applyFill="1" applyAlignment="1">
      <alignment horizontal="left"/>
    </xf>
    <xf numFmtId="4" fontId="25" fillId="6" borderId="0" xfId="0" applyNumberFormat="1" applyFont="1" applyFill="1" applyAlignment="1">
      <alignment horizontal="left"/>
    </xf>
    <xf numFmtId="10" fontId="25" fillId="6" borderId="0" xfId="0" applyNumberFormat="1" applyFont="1" applyFill="1" applyAlignment="1">
      <alignment horizontal="left"/>
    </xf>
    <xf numFmtId="7" fontId="26" fillId="6" borderId="4" xfId="0" applyNumberFormat="1" applyFont="1" applyFill="1" applyBorder="1"/>
    <xf numFmtId="8" fontId="26" fillId="19" borderId="4" xfId="0" applyNumberFormat="1" applyFont="1" applyFill="1" applyBorder="1"/>
    <xf numFmtId="8" fontId="26" fillId="19" borderId="16" xfId="0" applyNumberFormat="1" applyFont="1" applyFill="1" applyBorder="1"/>
    <xf numFmtId="8" fontId="26" fillId="20" borderId="4" xfId="0" applyNumberFormat="1" applyFont="1" applyFill="1" applyBorder="1"/>
    <xf numFmtId="8" fontId="26" fillId="20" borderId="16" xfId="0" applyNumberFormat="1" applyFont="1" applyFill="1" applyBorder="1"/>
    <xf numFmtId="8" fontId="26" fillId="22" borderId="4" xfId="0" applyNumberFormat="1" applyFont="1" applyFill="1" applyBorder="1"/>
    <xf numFmtId="8" fontId="26" fillId="22" borderId="16" xfId="0" applyNumberFormat="1" applyFont="1" applyFill="1" applyBorder="1"/>
    <xf numFmtId="8" fontId="26" fillId="10" borderId="4" xfId="0" applyNumberFormat="1" applyFont="1" applyFill="1" applyBorder="1"/>
    <xf numFmtId="8" fontId="26" fillId="10" borderId="16" xfId="0" applyNumberFormat="1" applyFont="1" applyFill="1" applyBorder="1"/>
    <xf numFmtId="0" fontId="99" fillId="9" borderId="4" xfId="0" applyFont="1" applyFill="1" applyBorder="1"/>
    <xf numFmtId="0" fontId="24" fillId="6" borderId="4" xfId="0" applyFont="1" applyFill="1" applyBorder="1" applyProtection="1">
      <protection locked="0"/>
    </xf>
    <xf numFmtId="8" fontId="55" fillId="9" borderId="0" xfId="0" applyNumberFormat="1" applyFont="1" applyFill="1"/>
    <xf numFmtId="3" fontId="39" fillId="9" borderId="0" xfId="0" applyNumberFormat="1" applyFont="1" applyFill="1"/>
    <xf numFmtId="192" fontId="39" fillId="9" borderId="0" xfId="0" applyNumberFormat="1" applyFont="1" applyFill="1"/>
    <xf numFmtId="190" fontId="18" fillId="9" borderId="0" xfId="0" applyNumberFormat="1" applyFont="1" applyFill="1"/>
    <xf numFmtId="3" fontId="18" fillId="9" borderId="0" xfId="0" applyNumberFormat="1" applyFont="1" applyFill="1"/>
    <xf numFmtId="44" fontId="18" fillId="9" borderId="0" xfId="0" applyNumberFormat="1" applyFont="1" applyFill="1"/>
    <xf numFmtId="8" fontId="44" fillId="9" borderId="0" xfId="0" applyNumberFormat="1" applyFont="1" applyFill="1" applyAlignment="1">
      <alignment horizontal="right"/>
    </xf>
    <xf numFmtId="8" fontId="49" fillId="9" borderId="0" xfId="0" applyNumberFormat="1" applyFont="1" applyFill="1" applyAlignment="1">
      <alignment horizontal="right"/>
    </xf>
    <xf numFmtId="8" fontId="18" fillId="9" borderId="0" xfId="0" applyNumberFormat="1" applyFont="1" applyFill="1"/>
    <xf numFmtId="8" fontId="18" fillId="9" borderId="0" xfId="0" applyNumberFormat="1" applyFont="1" applyFill="1" applyAlignment="1">
      <alignment horizontal="right"/>
    </xf>
    <xf numFmtId="8" fontId="54" fillId="9" borderId="0" xfId="0" applyNumberFormat="1" applyFont="1" applyFill="1"/>
    <xf numFmtId="8" fontId="100" fillId="9" borderId="0" xfId="0" applyNumberFormat="1" applyFont="1" applyFill="1"/>
    <xf numFmtId="3" fontId="101" fillId="9" borderId="0" xfId="0" applyNumberFormat="1" applyFont="1" applyFill="1"/>
    <xf numFmtId="192" fontId="101" fillId="9" borderId="0" xfId="0" applyNumberFormat="1" applyFont="1" applyFill="1"/>
    <xf numFmtId="4" fontId="102" fillId="9" borderId="0" xfId="0" applyNumberFormat="1" applyFont="1" applyFill="1"/>
    <xf numFmtId="4" fontId="100" fillId="9" borderId="0" xfId="0" applyNumberFormat="1" applyFont="1" applyFill="1"/>
    <xf numFmtId="190" fontId="103" fillId="9" borderId="0" xfId="0" applyNumberFormat="1" applyFont="1" applyFill="1"/>
    <xf numFmtId="179" fontId="102" fillId="9" borderId="0" xfId="0" applyNumberFormat="1" applyFont="1" applyFill="1"/>
    <xf numFmtId="3" fontId="103" fillId="9" borderId="0" xfId="0" applyNumberFormat="1" applyFont="1" applyFill="1"/>
    <xf numFmtId="4" fontId="103" fillId="9" borderId="0" xfId="0" applyNumberFormat="1" applyFont="1" applyFill="1"/>
    <xf numFmtId="44" fontId="103" fillId="9" borderId="0" xfId="0" applyNumberFormat="1" applyFont="1" applyFill="1"/>
    <xf numFmtId="44" fontId="103" fillId="9" borderId="0" xfId="0" applyNumberFormat="1" applyFont="1" applyFill="1" applyAlignment="1">
      <alignment horizontal="right" vertical="top"/>
    </xf>
    <xf numFmtId="8" fontId="100" fillId="9" borderId="0" xfId="0" applyNumberFormat="1" applyFont="1" applyFill="1" applyAlignment="1">
      <alignment horizontal="right"/>
    </xf>
    <xf numFmtId="3" fontId="101" fillId="9" borderId="0" xfId="0" applyNumberFormat="1" applyFont="1" applyFill="1" applyAlignment="1">
      <alignment horizontal="right"/>
    </xf>
    <xf numFmtId="192" fontId="101" fillId="9" borderId="0" xfId="0" applyNumberFormat="1" applyFont="1" applyFill="1" applyAlignment="1">
      <alignment horizontal="right"/>
    </xf>
    <xf numFmtId="4" fontId="102" fillId="9" borderId="0" xfId="0" applyNumberFormat="1" applyFont="1" applyFill="1" applyAlignment="1">
      <alignment horizontal="right"/>
    </xf>
    <xf numFmtId="4" fontId="100" fillId="9" borderId="0" xfId="0" applyNumberFormat="1" applyFont="1" applyFill="1" applyAlignment="1">
      <alignment horizontal="right"/>
    </xf>
    <xf numFmtId="190" fontId="103" fillId="9" borderId="0" xfId="0" applyNumberFormat="1" applyFont="1" applyFill="1" applyAlignment="1">
      <alignment horizontal="right"/>
    </xf>
    <xf numFmtId="179" fontId="102" fillId="9" borderId="0" xfId="0" applyNumberFormat="1" applyFont="1" applyFill="1" applyAlignment="1">
      <alignment horizontal="right"/>
    </xf>
    <xf numFmtId="3" fontId="103" fillId="9" borderId="0" xfId="0" applyNumberFormat="1" applyFont="1" applyFill="1" applyAlignment="1">
      <alignment horizontal="right"/>
    </xf>
    <xf numFmtId="4" fontId="103" fillId="9" borderId="0" xfId="0" applyNumberFormat="1" applyFont="1" applyFill="1" applyAlignment="1">
      <alignment horizontal="right"/>
    </xf>
    <xf numFmtId="179" fontId="103" fillId="9" borderId="0" xfId="0" applyNumberFormat="1" applyFont="1" applyFill="1" applyAlignment="1">
      <alignment horizontal="right"/>
    </xf>
    <xf numFmtId="8" fontId="103" fillId="9" borderId="0" xfId="0" applyNumberFormat="1" applyFont="1" applyFill="1" applyAlignment="1">
      <alignment horizontal="right"/>
    </xf>
    <xf numFmtId="8" fontId="104" fillId="9" borderId="0" xfId="0" applyNumberFormat="1" applyFont="1" applyFill="1" applyAlignment="1">
      <alignment horizontal="right"/>
    </xf>
    <xf numFmtId="8" fontId="103" fillId="9" borderId="0" xfId="0" applyNumberFormat="1" applyFont="1" applyFill="1"/>
    <xf numFmtId="8" fontId="102" fillId="9" borderId="0" xfId="0" applyNumberFormat="1" applyFont="1" applyFill="1"/>
    <xf numFmtId="0" fontId="101" fillId="9" borderId="0" xfId="0" applyFont="1" applyFill="1"/>
    <xf numFmtId="10" fontId="103" fillId="9" borderId="0" xfId="0" applyNumberFormat="1" applyFont="1" applyFill="1"/>
    <xf numFmtId="195" fontId="3" fillId="12" borderId="9" xfId="0" applyNumberFormat="1" applyFont="1" applyFill="1" applyBorder="1" applyAlignment="1" applyProtection="1">
      <alignment horizontal="left"/>
      <protection locked="0"/>
    </xf>
    <xf numFmtId="195" fontId="3" fillId="12" borderId="9" xfId="8" applyNumberFormat="1" applyFont="1" applyFill="1" applyBorder="1"/>
    <xf numFmtId="195" fontId="5" fillId="12" borderId="9" xfId="8" applyNumberFormat="1" applyFont="1" applyFill="1" applyBorder="1"/>
    <xf numFmtId="195" fontId="3" fillId="12" borderId="9" xfId="0" applyNumberFormat="1" applyFont="1" applyFill="1" applyBorder="1"/>
    <xf numFmtId="195" fontId="1" fillId="12" borderId="9" xfId="8" applyNumberFormat="1" applyFill="1" applyBorder="1"/>
    <xf numFmtId="195" fontId="3" fillId="11" borderId="9" xfId="0" applyNumberFormat="1" applyFont="1" applyFill="1" applyBorder="1" applyAlignment="1" applyProtection="1">
      <alignment horizontal="left"/>
      <protection locked="0"/>
    </xf>
    <xf numFmtId="195" fontId="3" fillId="11" borderId="9" xfId="8" applyNumberFormat="1" applyFont="1" applyFill="1" applyBorder="1"/>
    <xf numFmtId="195" fontId="5" fillId="11" borderId="9" xfId="8" applyNumberFormat="1" applyFont="1" applyFill="1" applyBorder="1"/>
    <xf numFmtId="195" fontId="3" fillId="11" borderId="9" xfId="0" applyNumberFormat="1" applyFont="1" applyFill="1" applyBorder="1"/>
    <xf numFmtId="195" fontId="1" fillId="11" borderId="9" xfId="8" applyNumberFormat="1" applyFill="1" applyBorder="1"/>
    <xf numFmtId="8" fontId="3" fillId="6" borderId="4" xfId="0" applyNumberFormat="1" applyFont="1" applyFill="1" applyBorder="1"/>
    <xf numFmtId="8" fontId="3" fillId="6" borderId="4" xfId="0" applyNumberFormat="1" applyFont="1" applyFill="1" applyBorder="1" applyAlignment="1">
      <alignment horizontal="right"/>
    </xf>
    <xf numFmtId="0" fontId="2" fillId="6" borderId="0" xfId="0" applyFont="1" applyFill="1"/>
    <xf numFmtId="8" fontId="13" fillId="6" borderId="4" xfId="0" applyNumberFormat="1" applyFont="1" applyFill="1" applyBorder="1" applyAlignment="1" applyProtection="1">
      <alignment horizontal="right"/>
      <protection locked="0"/>
    </xf>
    <xf numFmtId="8" fontId="13" fillId="6" borderId="4" xfId="8" applyNumberFormat="1" applyFont="1" applyFill="1" applyBorder="1" applyAlignment="1">
      <alignment vertical="top"/>
    </xf>
    <xf numFmtId="8" fontId="59" fillId="6" borderId="4" xfId="0" applyNumberFormat="1" applyFont="1" applyFill="1" applyBorder="1" applyAlignment="1">
      <alignment horizontal="right" wrapText="1"/>
    </xf>
    <xf numFmtId="8" fontId="13" fillId="6" borderId="4" xfId="0" applyNumberFormat="1" applyFont="1" applyFill="1" applyBorder="1" applyAlignment="1">
      <alignment horizontal="right"/>
    </xf>
    <xf numFmtId="8" fontId="5" fillId="6" borderId="0" xfId="0" applyNumberFormat="1" applyFont="1" applyFill="1" applyAlignment="1">
      <alignment vertical="top"/>
    </xf>
    <xf numFmtId="8" fontId="3" fillId="6" borderId="0" xfId="0" applyNumberFormat="1" applyFont="1" applyFill="1" applyAlignment="1">
      <alignment vertical="top"/>
    </xf>
    <xf numFmtId="0" fontId="67" fillId="8" borderId="0" xfId="0" applyFont="1" applyFill="1" applyAlignment="1">
      <alignment horizontal="right"/>
    </xf>
    <xf numFmtId="176" fontId="67" fillId="8" borderId="0" xfId="0" applyNumberFormat="1" applyFont="1" applyFill="1" applyAlignment="1">
      <alignment horizontal="center"/>
    </xf>
    <xf numFmtId="176" fontId="5" fillId="8" borderId="0" xfId="0" applyNumberFormat="1" applyFont="1" applyFill="1"/>
    <xf numFmtId="173" fontId="67" fillId="8" borderId="0" xfId="0" applyNumberFormat="1" applyFont="1" applyFill="1" applyAlignment="1">
      <alignment horizontal="center"/>
    </xf>
    <xf numFmtId="173" fontId="5" fillId="8" borderId="0" xfId="0" applyNumberFormat="1" applyFont="1" applyFill="1"/>
    <xf numFmtId="173" fontId="3" fillId="8" borderId="0" xfId="0" applyNumberFormat="1" applyFont="1" applyFill="1" applyAlignment="1">
      <alignment horizontal="center"/>
    </xf>
    <xf numFmtId="0" fontId="3" fillId="27" borderId="1" xfId="1" applyFont="1" applyFill="1" applyBorder="1" applyAlignment="1" applyProtection="1">
      <alignment horizontal="left" vertical="center"/>
    </xf>
    <xf numFmtId="0" fontId="86" fillId="25" borderId="0" xfId="0" applyFont="1" applyFill="1" applyAlignment="1">
      <alignment horizontal="center" vertical="center"/>
    </xf>
    <xf numFmtId="0" fontId="108" fillId="25" borderId="0" xfId="0" applyFont="1" applyFill="1"/>
    <xf numFmtId="0" fontId="109" fillId="25" borderId="0" xfId="0" applyFont="1" applyFill="1" applyAlignment="1">
      <alignment vertical="center"/>
    </xf>
    <xf numFmtId="0" fontId="110" fillId="3" borderId="0" xfId="17" applyFont="1" applyFill="1" applyAlignment="1">
      <alignment horizontal="left" vertical="center"/>
    </xf>
    <xf numFmtId="0" fontId="84" fillId="3" borderId="0" xfId="17" applyFont="1" applyFill="1" applyAlignment="1">
      <alignment horizontal="left" vertical="center"/>
    </xf>
    <xf numFmtId="0" fontId="0" fillId="0" borderId="0" xfId="0"/>
    <xf numFmtId="0" fontId="87" fillId="26" borderId="67" xfId="2" applyFont="1" applyFill="1" applyBorder="1" applyAlignment="1" applyProtection="1">
      <alignment horizontal="center" vertical="center"/>
    </xf>
    <xf numFmtId="0" fontId="87" fillId="26" borderId="67" xfId="2" applyFont="1" applyFill="1" applyBorder="1" applyAlignment="1" applyProtection="1">
      <alignment horizontal="center"/>
    </xf>
    <xf numFmtId="0" fontId="62" fillId="25" borderId="0" xfId="17" applyFont="1" applyFill="1" applyAlignment="1">
      <alignment horizontal="center" vertical="center"/>
    </xf>
    <xf numFmtId="0" fontId="63" fillId="25" borderId="0" xfId="17" applyFont="1" applyFill="1" applyAlignment="1">
      <alignment horizontal="center" vertical="center"/>
    </xf>
    <xf numFmtId="0" fontId="64" fillId="25" borderId="0" xfId="17" applyFont="1" applyFill="1" applyAlignment="1">
      <alignment horizontal="center" vertical="center"/>
    </xf>
    <xf numFmtId="0" fontId="75" fillId="3" borderId="0" xfId="18" applyFont="1" applyFill="1" applyAlignment="1">
      <alignment horizontal="center"/>
    </xf>
    <xf numFmtId="0" fontId="79" fillId="0" borderId="0" xfId="0" applyFont="1"/>
    <xf numFmtId="0" fontId="86" fillId="25" borderId="0" xfId="0" applyFont="1" applyFill="1" applyAlignment="1">
      <alignment horizontal="center" vertical="center"/>
    </xf>
    <xf numFmtId="0" fontId="58" fillId="5" borderId="28" xfId="0" applyFont="1" applyFill="1" applyBorder="1" applyAlignment="1" applyProtection="1">
      <alignment horizontal="center"/>
      <protection locked="0"/>
    </xf>
    <xf numFmtId="0" fontId="58" fillId="5" borderId="51" xfId="0" applyFont="1" applyFill="1" applyBorder="1" applyAlignment="1" applyProtection="1">
      <alignment horizontal="center"/>
      <protection locked="0"/>
    </xf>
    <xf numFmtId="0" fontId="88" fillId="5" borderId="9" xfId="0" applyFont="1" applyFill="1" applyBorder="1" applyAlignment="1">
      <alignment horizontal="center" vertical="center" wrapText="1"/>
    </xf>
    <xf numFmtId="0" fontId="5" fillId="0" borderId="10" xfId="0" applyFont="1" applyBorder="1" applyAlignment="1">
      <alignment horizontal="center" vertical="center" wrapText="1"/>
    </xf>
    <xf numFmtId="14" fontId="3" fillId="6" borderId="14" xfId="0" applyNumberFormat="1" applyFont="1" applyFill="1" applyBorder="1" applyAlignment="1" applyProtection="1">
      <alignment horizontal="center"/>
      <protection locked="0"/>
    </xf>
    <xf numFmtId="14" fontId="3" fillId="6" borderId="10" xfId="0" applyNumberFormat="1" applyFont="1" applyFill="1" applyBorder="1" applyAlignment="1" applyProtection="1">
      <alignment horizontal="center"/>
      <protection locked="0"/>
    </xf>
    <xf numFmtId="0" fontId="3" fillId="6" borderId="10" xfId="0" applyFont="1" applyFill="1" applyBorder="1" applyAlignment="1" applyProtection="1">
      <alignment horizontal="center"/>
      <protection locked="0"/>
    </xf>
    <xf numFmtId="14" fontId="3" fillId="6" borderId="70" xfId="0" applyNumberFormat="1" applyFont="1" applyFill="1" applyBorder="1" applyAlignment="1" applyProtection="1">
      <alignment horizontal="center"/>
      <protection locked="0"/>
    </xf>
    <xf numFmtId="14" fontId="3" fillId="6" borderId="36" xfId="0" applyNumberFormat="1" applyFont="1" applyFill="1" applyBorder="1" applyAlignment="1" applyProtection="1">
      <alignment horizontal="center"/>
      <protection locked="0"/>
    </xf>
    <xf numFmtId="0" fontId="3" fillId="6" borderId="36" xfId="0" applyFont="1" applyFill="1" applyBorder="1" applyAlignment="1" applyProtection="1">
      <alignment horizontal="center"/>
      <protection locked="0"/>
    </xf>
    <xf numFmtId="0" fontId="3" fillId="6" borderId="24" xfId="0" applyFont="1" applyFill="1" applyBorder="1" applyAlignment="1" applyProtection="1">
      <alignment horizontal="center"/>
      <protection locked="0"/>
    </xf>
    <xf numFmtId="4" fontId="3" fillId="11" borderId="9" xfId="0" applyNumberFormat="1" applyFont="1" applyFill="1" applyBorder="1"/>
    <xf numFmtId="4" fontId="3" fillId="11" borderId="26" xfId="0" applyNumberFormat="1" applyFont="1" applyFill="1" applyBorder="1"/>
    <xf numFmtId="4" fontId="16" fillId="9" borderId="36" xfId="0" applyNumberFormat="1" applyFont="1" applyFill="1" applyBorder="1"/>
    <xf numFmtId="4" fontId="16" fillId="9" borderId="24" xfId="0" applyNumberFormat="1" applyFont="1" applyFill="1" applyBorder="1"/>
    <xf numFmtId="4" fontId="3" fillId="12" borderId="9" xfId="0" applyNumberFormat="1" applyFont="1" applyFill="1" applyBorder="1"/>
    <xf numFmtId="4" fontId="3" fillId="12" borderId="26" xfId="0" applyNumberFormat="1" applyFont="1" applyFill="1" applyBorder="1"/>
    <xf numFmtId="0" fontId="3" fillId="6" borderId="0" xfId="0" applyFont="1" applyFill="1" applyAlignment="1" applyProtection="1">
      <alignment horizontal="center"/>
      <protection locked="0"/>
    </xf>
    <xf numFmtId="0" fontId="15" fillId="9" borderId="36" xfId="0" applyFont="1" applyFill="1" applyBorder="1" applyAlignment="1" applyProtection="1">
      <alignment horizontal="center"/>
      <protection locked="0"/>
    </xf>
    <xf numFmtId="0" fontId="5" fillId="0" borderId="36" xfId="0" applyFont="1" applyBorder="1" applyAlignment="1">
      <alignment horizontal="center"/>
    </xf>
    <xf numFmtId="0" fontId="88" fillId="9" borderId="0" xfId="0" applyFont="1" applyFill="1" applyAlignment="1">
      <alignment horizontal="center"/>
    </xf>
    <xf numFmtId="0" fontId="57" fillId="6" borderId="0" xfId="0" applyFont="1" applyFill="1" applyAlignment="1">
      <alignment horizontal="center"/>
    </xf>
    <xf numFmtId="0" fontId="3" fillId="16" borderId="74" xfId="0" applyFont="1" applyFill="1" applyBorder="1" applyAlignment="1" applyProtection="1">
      <alignment horizontal="center"/>
      <protection locked="0"/>
    </xf>
    <xf numFmtId="0" fontId="3" fillId="16" borderId="75" xfId="0" applyFont="1" applyFill="1" applyBorder="1" applyAlignment="1" applyProtection="1">
      <alignment horizontal="center"/>
      <protection locked="0"/>
    </xf>
    <xf numFmtId="0" fontId="24" fillId="6" borderId="25" xfId="0" applyFont="1" applyFill="1" applyBorder="1" applyAlignment="1">
      <alignment horizontal="left"/>
    </xf>
    <xf numFmtId="0" fontId="24" fillId="6" borderId="25" xfId="0" applyFont="1" applyFill="1" applyBorder="1"/>
    <xf numFmtId="14" fontId="91" fillId="6" borderId="40" xfId="0" applyNumberFormat="1" applyFont="1" applyFill="1" applyBorder="1" applyAlignment="1">
      <alignment horizontal="center"/>
    </xf>
    <xf numFmtId="14" fontId="91" fillId="6" borderId="73" xfId="0" applyNumberFormat="1" applyFont="1" applyFill="1" applyBorder="1" applyAlignment="1">
      <alignment horizontal="center"/>
    </xf>
    <xf numFmtId="0" fontId="24" fillId="6" borderId="0" xfId="0" applyFont="1" applyFill="1"/>
    <xf numFmtId="0" fontId="24" fillId="6" borderId="33" xfId="0" applyFont="1" applyFill="1" applyBorder="1" applyAlignment="1">
      <alignment horizontal="left"/>
    </xf>
    <xf numFmtId="0" fontId="24" fillId="6" borderId="33" xfId="0" applyFont="1" applyFill="1" applyBorder="1"/>
    <xf numFmtId="0" fontId="25" fillId="6" borderId="0" xfId="0" applyFont="1" applyFill="1" applyAlignment="1">
      <alignment horizontal="left"/>
    </xf>
    <xf numFmtId="0" fontId="25" fillId="6" borderId="0" xfId="0" applyFont="1" applyFill="1"/>
    <xf numFmtId="10" fontId="44" fillId="9" borderId="0" xfId="0" applyNumberFormat="1" applyFont="1" applyFill="1" applyAlignment="1">
      <alignment horizontal="right"/>
    </xf>
    <xf numFmtId="10" fontId="39" fillId="9" borderId="0" xfId="0" applyNumberFormat="1" applyFont="1" applyFill="1" applyAlignment="1">
      <alignment horizontal="right"/>
    </xf>
    <xf numFmtId="10" fontId="17" fillId="9" borderId="0" xfId="0" applyNumberFormat="1" applyFont="1" applyFill="1" applyAlignment="1">
      <alignment horizontal="left"/>
    </xf>
    <xf numFmtId="10" fontId="12" fillId="9" borderId="0" xfId="0" applyNumberFormat="1" applyFont="1" applyFill="1" applyAlignment="1">
      <alignment horizontal="left"/>
    </xf>
    <xf numFmtId="0" fontId="44" fillId="9" borderId="0" xfId="0" applyFont="1" applyFill="1" applyAlignment="1">
      <alignment horizontal="right"/>
    </xf>
    <xf numFmtId="0" fontId="39" fillId="9" borderId="0" xfId="0" applyFont="1" applyFill="1" applyAlignment="1">
      <alignment horizontal="right"/>
    </xf>
    <xf numFmtId="0" fontId="17" fillId="9" borderId="0" xfId="0" applyFont="1" applyFill="1" applyAlignment="1">
      <alignment horizontal="left"/>
    </xf>
    <xf numFmtId="0" fontId="12" fillId="9" borderId="0" xfId="0" applyFont="1" applyFill="1" applyAlignment="1">
      <alignment horizontal="left"/>
    </xf>
    <xf numFmtId="0" fontId="17" fillId="9" borderId="0" xfId="0" applyFont="1" applyFill="1"/>
    <xf numFmtId="0" fontId="12" fillId="9" borderId="0" xfId="0" applyFont="1" applyFill="1"/>
    <xf numFmtId="0" fontId="39" fillId="6" borderId="0" xfId="0" applyFont="1" applyFill="1" applyAlignment="1">
      <alignment horizontal="right"/>
    </xf>
    <xf numFmtId="0" fontId="12" fillId="6" borderId="0" xfId="0" applyFont="1" applyFill="1" applyAlignment="1">
      <alignment horizontal="left"/>
    </xf>
    <xf numFmtId="0" fontId="18" fillId="9" borderId="0" xfId="0" applyFont="1" applyFill="1" applyAlignment="1">
      <alignment horizontal="right"/>
    </xf>
    <xf numFmtId="0" fontId="15" fillId="9" borderId="0" xfId="0" applyFont="1" applyFill="1" applyAlignment="1">
      <alignment horizontal="right"/>
    </xf>
    <xf numFmtId="0" fontId="43" fillId="9" borderId="0" xfId="0" applyFont="1" applyFill="1" applyAlignment="1">
      <alignment horizontal="right"/>
    </xf>
    <xf numFmtId="0" fontId="47" fillId="9" borderId="0" xfId="0" applyFont="1" applyFill="1" applyAlignment="1">
      <alignment horizontal="left"/>
    </xf>
    <xf numFmtId="0" fontId="46" fillId="9" borderId="0" xfId="0" applyFont="1" applyFill="1" applyAlignment="1">
      <alignment horizontal="left"/>
    </xf>
    <xf numFmtId="0" fontId="16" fillId="9" borderId="0" xfId="0" applyFont="1" applyFill="1" applyAlignment="1">
      <alignment horizontal="left"/>
    </xf>
    <xf numFmtId="0" fontId="49" fillId="9" borderId="0" xfId="0" applyFont="1" applyFill="1" applyAlignment="1">
      <alignment horizontal="right"/>
    </xf>
    <xf numFmtId="0" fontId="50" fillId="9" borderId="0" xfId="0" applyFont="1" applyFill="1" applyAlignment="1">
      <alignment horizontal="left"/>
    </xf>
    <xf numFmtId="0" fontId="44" fillId="9" borderId="0" xfId="0" applyFont="1" applyFill="1" applyAlignment="1">
      <alignment horizontal="left"/>
    </xf>
    <xf numFmtId="0" fontId="39" fillId="9" borderId="0" xfId="0" applyFont="1" applyFill="1" applyAlignment="1">
      <alignment horizontal="left"/>
    </xf>
    <xf numFmtId="0" fontId="38" fillId="9" borderId="76" xfId="0" applyFont="1" applyFill="1" applyBorder="1" applyAlignment="1">
      <alignment horizontal="center"/>
    </xf>
    <xf numFmtId="0" fontId="38" fillId="9" borderId="77" xfId="0" applyFont="1" applyFill="1" applyBorder="1" applyAlignment="1">
      <alignment horizontal="center"/>
    </xf>
    <xf numFmtId="0" fontId="38" fillId="9" borderId="78" xfId="0" applyFont="1" applyFill="1" applyBorder="1" applyAlignment="1">
      <alignment horizontal="center"/>
    </xf>
    <xf numFmtId="0" fontId="41" fillId="9" borderId="79" xfId="0" applyFont="1" applyFill="1" applyBorder="1" applyAlignment="1">
      <alignment horizontal="center"/>
    </xf>
    <xf numFmtId="0" fontId="42" fillId="9" borderId="79" xfId="0" applyFont="1" applyFill="1" applyBorder="1" applyAlignment="1">
      <alignment horizontal="center"/>
    </xf>
    <xf numFmtId="0" fontId="51" fillId="9" borderId="0" xfId="0" applyFont="1" applyFill="1" applyAlignment="1">
      <alignment horizontal="left"/>
    </xf>
    <xf numFmtId="0" fontId="57" fillId="15" borderId="0" xfId="0" applyFont="1" applyFill="1" applyAlignment="1">
      <alignment horizontal="center"/>
    </xf>
    <xf numFmtId="0" fontId="60" fillId="15" borderId="0" xfId="0" applyFont="1" applyFill="1" applyAlignment="1">
      <alignment horizontal="center"/>
    </xf>
    <xf numFmtId="0" fontId="60" fillId="15" borderId="22" xfId="0" applyFont="1" applyFill="1" applyBorder="1" applyAlignment="1">
      <alignment horizontal="center"/>
    </xf>
    <xf numFmtId="0" fontId="60" fillId="15" borderId="80" xfId="0" applyFont="1" applyFill="1" applyBorder="1" applyAlignment="1">
      <alignment horizontal="center"/>
    </xf>
    <xf numFmtId="0" fontId="60" fillId="15" borderId="49" xfId="0" applyFont="1" applyFill="1" applyBorder="1" applyAlignment="1">
      <alignment horizontal="center"/>
    </xf>
    <xf numFmtId="0" fontId="105" fillId="15" borderId="0" xfId="0" applyFont="1" applyFill="1" applyAlignment="1">
      <alignment horizontal="center"/>
    </xf>
    <xf numFmtId="0" fontId="28" fillId="9" borderId="13" xfId="0" applyFont="1" applyFill="1" applyBorder="1" applyAlignment="1" applyProtection="1">
      <alignment horizontal="center"/>
      <protection locked="0"/>
    </xf>
    <xf numFmtId="0" fontId="0" fillId="6" borderId="0" xfId="0" applyFill="1" applyAlignment="1">
      <alignment horizontal="center"/>
    </xf>
    <xf numFmtId="0" fontId="5" fillId="25" borderId="21" xfId="0" applyFont="1" applyFill="1" applyBorder="1" applyAlignment="1">
      <alignment vertical="center" wrapText="1"/>
    </xf>
    <xf numFmtId="0" fontId="0" fillId="0" borderId="39" xfId="0" applyBorder="1" applyAlignment="1">
      <alignment vertical="center" wrapText="1"/>
    </xf>
    <xf numFmtId="0" fontId="0" fillId="0" borderId="17"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36" xfId="0" applyBorder="1" applyAlignment="1">
      <alignment vertical="center" wrapText="1"/>
    </xf>
    <xf numFmtId="0" fontId="0" fillId="0" borderId="81" xfId="0" applyBorder="1" applyAlignment="1">
      <alignment vertical="center" wrapText="1"/>
    </xf>
    <xf numFmtId="0" fontId="67" fillId="25" borderId="12" xfId="0" applyFont="1" applyFill="1" applyBorder="1" applyAlignment="1">
      <alignment vertical="center"/>
    </xf>
    <xf numFmtId="0" fontId="67" fillId="0" borderId="34" xfId="0" applyFont="1" applyBorder="1" applyAlignment="1">
      <alignment vertical="center"/>
    </xf>
    <xf numFmtId="0" fontId="67" fillId="0" borderId="27" xfId="0" applyFont="1" applyBorder="1" applyAlignment="1">
      <alignment vertical="center"/>
    </xf>
    <xf numFmtId="0" fontId="67" fillId="25" borderId="12" xfId="0" applyFont="1" applyFill="1" applyBorder="1" applyAlignment="1">
      <alignment horizontal="center" vertical="center" wrapText="1"/>
    </xf>
    <xf numFmtId="0" fontId="67" fillId="0" borderId="34" xfId="0" applyFont="1" applyBorder="1" applyAlignment="1">
      <alignment horizontal="center" vertical="center" wrapText="1"/>
    </xf>
    <xf numFmtId="0" fontId="67" fillId="0" borderId="27" xfId="0" applyFont="1" applyBorder="1" applyAlignment="1">
      <alignment horizontal="center" vertical="center" wrapText="1"/>
    </xf>
  </cellXfs>
  <cellStyles count="36">
    <cellStyle name="Collegamento ipertestuale" xfId="1" builtinId="8"/>
    <cellStyle name="Collegamento ipertestuale 2" xfId="2" xr:uid="{00000000-0005-0000-0000-000001000000}"/>
    <cellStyle name="Collegamento visitato_01_Valtenesi_checkup.xls Grafico 1" xfId="3" xr:uid="{00000000-0005-0000-0000-000002000000}"/>
    <cellStyle name="Dezimal [0]_aM120029" xfId="4" xr:uid="{00000000-0005-0000-0000-000003000000}"/>
    <cellStyle name="Dezimal_aM120029" xfId="5" xr:uid="{00000000-0005-0000-0000-000004000000}"/>
    <cellStyle name="Euro" xfId="6" xr:uid="{00000000-0005-0000-0000-000005000000}"/>
    <cellStyle name="Migliaia (0)_Brazil" xfId="7" xr:uid="{00000000-0005-0000-0000-000006000000}"/>
    <cellStyle name="Migliaia [0]" xfId="8" builtinId="6"/>
    <cellStyle name="Migliaia [0] 2" xfId="9" xr:uid="{00000000-0005-0000-0000-000008000000}"/>
    <cellStyle name="Migliaia 2" xfId="10" xr:uid="{00000000-0005-0000-0000-000009000000}"/>
    <cellStyle name="Migliaia 3" xfId="11" xr:uid="{00000000-0005-0000-0000-00000A000000}"/>
    <cellStyle name="Normal - Style1" xfId="12" xr:uid="{00000000-0005-0000-0000-00000B000000}"/>
    <cellStyle name="Normal_BALSHT.XLS" xfId="13" xr:uid="{00000000-0005-0000-0000-00000C000000}"/>
    <cellStyle name="Normale" xfId="0" builtinId="0"/>
    <cellStyle name="Normale 2" xfId="14" xr:uid="{00000000-0005-0000-0000-00000E000000}"/>
    <cellStyle name="Normale 2 2" xfId="15" xr:uid="{00000000-0005-0000-0000-00000F000000}"/>
    <cellStyle name="Normale 2_4c_Quantitativo_IV DirCEE_mandato Baldinelli" xfId="16" xr:uid="{00000000-0005-0000-0000-000010000000}"/>
    <cellStyle name="Normale 3" xfId="17" xr:uid="{00000000-0005-0000-0000-000011000000}"/>
    <cellStyle name="Normale 4" xfId="18" xr:uid="{00000000-0005-0000-0000-000012000000}"/>
    <cellStyle name="Normale 5" xfId="19" xr:uid="{00000000-0005-0000-0000-000013000000}"/>
    <cellStyle name="Percentuale" xfId="20" builtinId="5"/>
    <cellStyle name="Percentuale 2" xfId="21" xr:uid="{00000000-0005-0000-0000-000015000000}"/>
    <cellStyle name="Percentuale 2 2" xfId="22" xr:uid="{00000000-0005-0000-0000-000016000000}"/>
    <cellStyle name="Percentuale 3" xfId="23" xr:uid="{00000000-0005-0000-0000-000017000000}"/>
    <cellStyle name="Standard_Agip_Zusammenfassung" xfId="24" xr:uid="{00000000-0005-0000-0000-000018000000}"/>
    <cellStyle name="TimeReport" xfId="25" xr:uid="{00000000-0005-0000-0000-000019000000}"/>
    <cellStyle name="tr" xfId="26" xr:uid="{00000000-0005-0000-0000-00001A000000}"/>
    <cellStyle name="Valuta (0)_BP EURO 13-1-99" xfId="27" xr:uid="{00000000-0005-0000-0000-00001B000000}"/>
    <cellStyle name="Valuta 2" xfId="28" xr:uid="{00000000-0005-0000-0000-00001C000000}"/>
    <cellStyle name="Valuta 3" xfId="29" xr:uid="{00000000-0005-0000-0000-00001D000000}"/>
    <cellStyle name="Valuta 4" xfId="30" xr:uid="{00000000-0005-0000-0000-00001E000000}"/>
    <cellStyle name="Valuta 5" xfId="31" xr:uid="{00000000-0005-0000-0000-00001F000000}"/>
    <cellStyle name="Valuta 6" xfId="32" xr:uid="{00000000-0005-0000-0000-000020000000}"/>
    <cellStyle name="Virgola_01_Valtenesi_checkup.xls Grafico 1" xfId="33" xr:uid="{00000000-0005-0000-0000-000021000000}"/>
    <cellStyle name="Währung [0]_aM120029" xfId="34" xr:uid="{00000000-0005-0000-0000-000022000000}"/>
    <cellStyle name="Währung_aM120029" xfId="35"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22549412605"/>
          <c:y val="5.0739957716701901E-2"/>
          <c:w val="0.82095543880258337"/>
          <c:h val="0.86680761099365755"/>
        </c:manualLayout>
      </c:layout>
      <c:scatterChart>
        <c:scatterStyle val="lineMarker"/>
        <c:varyColors val="0"/>
        <c:ser>
          <c:idx val="0"/>
          <c:order val="0"/>
          <c:tx>
            <c:strRef>
              <c:f>'BreakEven Point AZ. A'!$K$3</c:f>
              <c:strCache>
                <c:ptCount val="1"/>
                <c:pt idx="0">
                  <c:v>COSTI FISSI</c:v>
                </c:pt>
              </c:strCache>
            </c:strRef>
          </c:tx>
          <c:spPr>
            <a:ln w="25400">
              <a:solidFill>
                <a:srgbClr val="000080"/>
              </a:solidFill>
              <a:prstDash val="solid"/>
            </a:ln>
          </c:spPr>
          <c:marker>
            <c:symbol val="none"/>
          </c:marker>
          <c:xVal>
            <c:numRef>
              <c:f>'BreakEven Point AZ. A'!$L$2:$S$2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A'!$L$3:$S$3</c:f>
              <c:numCache>
                <c:formatCode>"€"#,##0.00_);[Red]\("€"#,##0.00\)</c:formatCode>
                <c:ptCount val="8"/>
                <c:pt idx="0">
                  <c:v>6510555.5337092001</c:v>
                </c:pt>
                <c:pt idx="1">
                  <c:v>6510555.5337092001</c:v>
                </c:pt>
                <c:pt idx="2">
                  <c:v>6510555.5337092001</c:v>
                </c:pt>
                <c:pt idx="3">
                  <c:v>6510555.5337092001</c:v>
                </c:pt>
                <c:pt idx="4">
                  <c:v>6510555.5337092001</c:v>
                </c:pt>
                <c:pt idx="5">
                  <c:v>6510555.5337092001</c:v>
                </c:pt>
                <c:pt idx="6">
                  <c:v>6510555.5337092001</c:v>
                </c:pt>
                <c:pt idx="7">
                  <c:v>6510555.5337092001</c:v>
                </c:pt>
              </c:numCache>
            </c:numRef>
          </c:yVal>
          <c:smooth val="0"/>
          <c:extLst>
            <c:ext xmlns:c16="http://schemas.microsoft.com/office/drawing/2014/chart" uri="{C3380CC4-5D6E-409C-BE32-E72D297353CC}">
              <c16:uniqueId val="{00000000-4954-417A-8546-27047B08BCDF}"/>
            </c:ext>
          </c:extLst>
        </c:ser>
        <c:ser>
          <c:idx val="1"/>
          <c:order val="1"/>
          <c:tx>
            <c:strRef>
              <c:f>'BreakEven Point AZ. A'!$K$4</c:f>
              <c:strCache>
                <c:ptCount val="1"/>
                <c:pt idx="0">
                  <c:v>COSTI VARIABILI</c:v>
                </c:pt>
              </c:strCache>
            </c:strRef>
          </c:tx>
          <c:spPr>
            <a:ln w="25400">
              <a:solidFill>
                <a:srgbClr val="FF00FF"/>
              </a:solidFill>
              <a:prstDash val="solid"/>
            </a:ln>
          </c:spPr>
          <c:marker>
            <c:symbol val="none"/>
          </c:marker>
          <c:xVal>
            <c:numRef>
              <c:f>'BreakEven Point AZ. A'!$L$2:$S$2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A'!$L$4:$S$4</c:f>
              <c:numCache>
                <c:formatCode>"€"#,##0.00_);[Red]\("€"#,##0.00\)</c:formatCode>
                <c:ptCount val="8"/>
                <c:pt idx="0">
                  <c:v>0</c:v>
                </c:pt>
                <c:pt idx="1">
                  <c:v>10835210.723300397</c:v>
                </c:pt>
                <c:pt idx="2">
                  <c:v>16252816.084950596</c:v>
                </c:pt>
                <c:pt idx="3">
                  <c:v>21670421.446600795</c:v>
                </c:pt>
                <c:pt idx="4">
                  <c:v>27088026.808250993</c:v>
                </c:pt>
                <c:pt idx="5">
                  <c:v>32505632.169901192</c:v>
                </c:pt>
                <c:pt idx="6">
                  <c:v>37923237.531551391</c:v>
                </c:pt>
                <c:pt idx="7">
                  <c:v>43340842.89320159</c:v>
                </c:pt>
              </c:numCache>
            </c:numRef>
          </c:yVal>
          <c:smooth val="0"/>
          <c:extLst>
            <c:ext xmlns:c16="http://schemas.microsoft.com/office/drawing/2014/chart" uri="{C3380CC4-5D6E-409C-BE32-E72D297353CC}">
              <c16:uniqueId val="{00000001-4954-417A-8546-27047B08BCDF}"/>
            </c:ext>
          </c:extLst>
        </c:ser>
        <c:ser>
          <c:idx val="2"/>
          <c:order val="2"/>
          <c:tx>
            <c:strRef>
              <c:f>'BreakEven Point AZ. A'!$K$5</c:f>
              <c:strCache>
                <c:ptCount val="1"/>
                <c:pt idx="0">
                  <c:v>COSTI TOTALI</c:v>
                </c:pt>
              </c:strCache>
            </c:strRef>
          </c:tx>
          <c:spPr>
            <a:ln w="25400">
              <a:solidFill>
                <a:srgbClr val="FFFF00"/>
              </a:solidFill>
              <a:prstDash val="solid"/>
            </a:ln>
          </c:spPr>
          <c:marker>
            <c:symbol val="none"/>
          </c:marker>
          <c:xVal>
            <c:numRef>
              <c:f>'BreakEven Point AZ. A'!$L$2:$S$2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A'!$L$5:$S$5</c:f>
              <c:numCache>
                <c:formatCode>"€"#,##0.00_);[Red]\("€"#,##0.00\)</c:formatCode>
                <c:ptCount val="8"/>
                <c:pt idx="0">
                  <c:v>6510555.5337092001</c:v>
                </c:pt>
                <c:pt idx="1">
                  <c:v>17345766.257009596</c:v>
                </c:pt>
                <c:pt idx="2">
                  <c:v>22763371.618659794</c:v>
                </c:pt>
                <c:pt idx="3">
                  <c:v>28180976.980309993</c:v>
                </c:pt>
                <c:pt idx="4">
                  <c:v>33598582.341960192</c:v>
                </c:pt>
                <c:pt idx="5">
                  <c:v>39016187.70361039</c:v>
                </c:pt>
                <c:pt idx="6">
                  <c:v>44433793.065260589</c:v>
                </c:pt>
                <c:pt idx="7">
                  <c:v>49851398.426910788</c:v>
                </c:pt>
              </c:numCache>
            </c:numRef>
          </c:yVal>
          <c:smooth val="0"/>
          <c:extLst>
            <c:ext xmlns:c16="http://schemas.microsoft.com/office/drawing/2014/chart" uri="{C3380CC4-5D6E-409C-BE32-E72D297353CC}">
              <c16:uniqueId val="{00000002-4954-417A-8546-27047B08BCDF}"/>
            </c:ext>
          </c:extLst>
        </c:ser>
        <c:ser>
          <c:idx val="3"/>
          <c:order val="3"/>
          <c:tx>
            <c:strRef>
              <c:f>'BreakEven Point AZ. A'!$K$6</c:f>
              <c:strCache>
                <c:ptCount val="1"/>
                <c:pt idx="0">
                  <c:v>RICAVI</c:v>
                </c:pt>
              </c:strCache>
            </c:strRef>
          </c:tx>
          <c:spPr>
            <a:ln w="25400">
              <a:solidFill>
                <a:srgbClr val="00FFFF"/>
              </a:solidFill>
              <a:prstDash val="solid"/>
            </a:ln>
          </c:spPr>
          <c:marker>
            <c:symbol val="none"/>
          </c:marker>
          <c:xVal>
            <c:numRef>
              <c:f>'BreakEven Point AZ. A'!$L$2:$S$2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A'!$L$6:$S$6</c:f>
              <c:numCache>
                <c:formatCode>"€"#,##0.00_);[Red]\("€"#,##0.00\)</c:formatCode>
                <c:ptCount val="8"/>
                <c:pt idx="0">
                  <c:v>0</c:v>
                </c:pt>
                <c:pt idx="1">
                  <c:v>13794708.212760318</c:v>
                </c:pt>
                <c:pt idx="2">
                  <c:v>20692062.319140479</c:v>
                </c:pt>
                <c:pt idx="3">
                  <c:v>27589416.425520636</c:v>
                </c:pt>
                <c:pt idx="4">
                  <c:v>34486770.531900793</c:v>
                </c:pt>
                <c:pt idx="5">
                  <c:v>41384124.638280958</c:v>
                </c:pt>
                <c:pt idx="6">
                  <c:v>48281478.744661115</c:v>
                </c:pt>
                <c:pt idx="7">
                  <c:v>55178832.851041272</c:v>
                </c:pt>
              </c:numCache>
            </c:numRef>
          </c:yVal>
          <c:smooth val="0"/>
          <c:extLst>
            <c:ext xmlns:c16="http://schemas.microsoft.com/office/drawing/2014/chart" uri="{C3380CC4-5D6E-409C-BE32-E72D297353CC}">
              <c16:uniqueId val="{00000003-4954-417A-8546-27047B08BCDF}"/>
            </c:ext>
          </c:extLst>
        </c:ser>
        <c:dLbls>
          <c:showLegendKey val="0"/>
          <c:showVal val="0"/>
          <c:showCatName val="0"/>
          <c:showSerName val="0"/>
          <c:showPercent val="0"/>
          <c:showBubbleSize val="0"/>
        </c:dLbls>
        <c:axId val="532308463"/>
        <c:axId val="1"/>
      </c:scatterChart>
      <c:valAx>
        <c:axId val="53230846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532308463"/>
        <c:crosses val="autoZero"/>
        <c:crossBetween val="midCat"/>
      </c:valAx>
      <c:spPr>
        <a:solidFill>
          <a:srgbClr val="C0C0C0"/>
        </a:solidFill>
        <a:ln w="12700">
          <a:solidFill>
            <a:srgbClr val="808080"/>
          </a:solidFill>
          <a:prstDash val="solid"/>
        </a:ln>
      </c:spPr>
    </c:plotArea>
    <c:legend>
      <c:legendPos val="r"/>
      <c:layout>
        <c:manualLayout>
          <c:xMode val="edge"/>
          <c:yMode val="edge"/>
          <c:x val="0.1871854045225797"/>
          <c:y val="0.11480571026182701"/>
          <c:w val="0.23272236803732863"/>
          <c:h val="0.26935350186489848"/>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577E-4D24-887B-31CF4AC046F4}"/>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577E-4D24-887B-31CF4AC046F4}"/>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577E-4D24-887B-31CF4AC046F4}"/>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577E-4D24-887B-31CF4AC046F4}"/>
            </c:ext>
          </c:extLst>
        </c:ser>
        <c:dLbls>
          <c:showLegendKey val="0"/>
          <c:showVal val="0"/>
          <c:showCatName val="0"/>
          <c:showSerName val="0"/>
          <c:showPercent val="0"/>
          <c:showBubbleSize val="0"/>
        </c:dLbls>
        <c:axId val="559114367"/>
        <c:axId val="1"/>
      </c:scatterChart>
      <c:valAx>
        <c:axId val="55911436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5911436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D4C9-4233-9956-4D981509B2B0}"/>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D4C9-4233-9956-4D981509B2B0}"/>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D4C9-4233-9956-4D981509B2B0}"/>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D4C9-4233-9956-4D981509B2B0}"/>
            </c:ext>
          </c:extLst>
        </c:ser>
        <c:dLbls>
          <c:showLegendKey val="0"/>
          <c:showVal val="0"/>
          <c:showCatName val="0"/>
          <c:showSerName val="0"/>
          <c:showPercent val="0"/>
          <c:showBubbleSize val="0"/>
        </c:dLbls>
        <c:axId val="559116287"/>
        <c:axId val="1"/>
      </c:scatterChart>
      <c:valAx>
        <c:axId val="5591162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591162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DEDA-48C9-8DF5-B50DDCC30B68}"/>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DEDA-48C9-8DF5-B50DDCC30B68}"/>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DEDA-48C9-8DF5-B50DDCC30B68}"/>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DEDA-48C9-8DF5-B50DDCC30B68}"/>
            </c:ext>
          </c:extLst>
        </c:ser>
        <c:dLbls>
          <c:showLegendKey val="0"/>
          <c:showVal val="0"/>
          <c:showCatName val="0"/>
          <c:showSerName val="0"/>
          <c:showPercent val="0"/>
          <c:showBubbleSize val="0"/>
        </c:dLbls>
        <c:axId val="171509103"/>
        <c:axId val="1"/>
      </c:scatterChart>
      <c:valAx>
        <c:axId val="17150910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7150910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160319217509"/>
          <c:y val="5.0739957716701901E-2"/>
          <c:w val="0.82142963250975598"/>
          <c:h val="0.86680761099365755"/>
        </c:manualLayout>
      </c:layout>
      <c:scatterChart>
        <c:scatterStyle val="lineMarker"/>
        <c:varyColors val="0"/>
        <c:ser>
          <c:idx val="0"/>
          <c:order val="0"/>
          <c:tx>
            <c:strRef>
              <c:f>'BreakEven Point AZ. A_Prodotti'!$K$3</c:f>
              <c:strCache>
                <c:ptCount val="1"/>
                <c:pt idx="0">
                  <c:v>COSTI FISSI</c:v>
                </c:pt>
              </c:strCache>
            </c:strRef>
          </c:tx>
          <c:spPr>
            <a:ln w="25400">
              <a:solidFill>
                <a:srgbClr val="000080"/>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A_Prodotti'!$L$3:$S$3</c:f>
              <c:numCache>
                <c:formatCode>"€"#,##0.00_);[Red]\("€"#,##0.00\)</c:formatCode>
                <c:ptCount val="8"/>
                <c:pt idx="0">
                  <c:v>3250402.3510260149</c:v>
                </c:pt>
                <c:pt idx="1">
                  <c:v>3250402.3510260149</c:v>
                </c:pt>
                <c:pt idx="2">
                  <c:v>3250402.3510260149</c:v>
                </c:pt>
                <c:pt idx="3">
                  <c:v>3250402.3510260149</c:v>
                </c:pt>
                <c:pt idx="4">
                  <c:v>3250402.3510260149</c:v>
                </c:pt>
                <c:pt idx="5">
                  <c:v>3250402.3510260149</c:v>
                </c:pt>
                <c:pt idx="6">
                  <c:v>3250402.3510260149</c:v>
                </c:pt>
                <c:pt idx="7">
                  <c:v>3250402.3510260149</c:v>
                </c:pt>
              </c:numCache>
            </c:numRef>
          </c:yVal>
          <c:smooth val="0"/>
          <c:extLst>
            <c:ext xmlns:c16="http://schemas.microsoft.com/office/drawing/2014/chart" uri="{C3380CC4-5D6E-409C-BE32-E72D297353CC}">
              <c16:uniqueId val="{00000000-71A8-4F9D-96A7-F827B1B3FBC2}"/>
            </c:ext>
          </c:extLst>
        </c:ser>
        <c:ser>
          <c:idx val="1"/>
          <c:order val="1"/>
          <c:tx>
            <c:strRef>
              <c:f>'BreakEven Point AZ. A_Prodotti'!$K$4</c:f>
              <c:strCache>
                <c:ptCount val="1"/>
                <c:pt idx="0">
                  <c:v>COSTI VARIABILI</c:v>
                </c:pt>
              </c:strCache>
            </c:strRef>
          </c:tx>
          <c:spPr>
            <a:ln w="25400">
              <a:solidFill>
                <a:srgbClr val="FF00FF"/>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A_Prodotti'!$L$4:$S$4</c:f>
              <c:numCache>
                <c:formatCode>"€"#,##0.00_);[Red]\("€"#,##0.00\)</c:formatCode>
                <c:ptCount val="8"/>
                <c:pt idx="0">
                  <c:v>0</c:v>
                </c:pt>
                <c:pt idx="1">
                  <c:v>10627792.531488713</c:v>
                </c:pt>
                <c:pt idx="2">
                  <c:v>15941688.797233069</c:v>
                </c:pt>
                <c:pt idx="3">
                  <c:v>21255585.062977426</c:v>
                </c:pt>
                <c:pt idx="4">
                  <c:v>26569481.328721784</c:v>
                </c:pt>
                <c:pt idx="5">
                  <c:v>31883377.594466139</c:v>
                </c:pt>
                <c:pt idx="6">
                  <c:v>37197273.860210493</c:v>
                </c:pt>
                <c:pt idx="7">
                  <c:v>42511170.125954852</c:v>
                </c:pt>
              </c:numCache>
            </c:numRef>
          </c:yVal>
          <c:smooth val="0"/>
          <c:extLst>
            <c:ext xmlns:c16="http://schemas.microsoft.com/office/drawing/2014/chart" uri="{C3380CC4-5D6E-409C-BE32-E72D297353CC}">
              <c16:uniqueId val="{00000001-71A8-4F9D-96A7-F827B1B3FBC2}"/>
            </c:ext>
          </c:extLst>
        </c:ser>
        <c:ser>
          <c:idx val="2"/>
          <c:order val="2"/>
          <c:tx>
            <c:strRef>
              <c:f>'BreakEven Point AZ. A_Prodotti'!$K$5</c:f>
              <c:strCache>
                <c:ptCount val="1"/>
                <c:pt idx="0">
                  <c:v>COSTI TOTALI</c:v>
                </c:pt>
              </c:strCache>
            </c:strRef>
          </c:tx>
          <c:spPr>
            <a:ln w="25400">
              <a:solidFill>
                <a:srgbClr val="FFFF00"/>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A_Prodotti'!$L$5:$S$5</c:f>
              <c:numCache>
                <c:formatCode>"€"#,##0.00_);[Red]\("€"#,##0.00\)</c:formatCode>
                <c:ptCount val="8"/>
                <c:pt idx="0">
                  <c:v>3250402.3510260149</c:v>
                </c:pt>
                <c:pt idx="1">
                  <c:v>13878194.882514728</c:v>
                </c:pt>
                <c:pt idx="2">
                  <c:v>19192091.148259085</c:v>
                </c:pt>
                <c:pt idx="3">
                  <c:v>24505987.414003439</c:v>
                </c:pt>
                <c:pt idx="4">
                  <c:v>29819883.679747798</c:v>
                </c:pt>
                <c:pt idx="5">
                  <c:v>35133779.945492156</c:v>
                </c:pt>
                <c:pt idx="6">
                  <c:v>40447676.211236507</c:v>
                </c:pt>
                <c:pt idx="7">
                  <c:v>45761572.476980865</c:v>
                </c:pt>
              </c:numCache>
            </c:numRef>
          </c:yVal>
          <c:smooth val="0"/>
          <c:extLst>
            <c:ext xmlns:c16="http://schemas.microsoft.com/office/drawing/2014/chart" uri="{C3380CC4-5D6E-409C-BE32-E72D297353CC}">
              <c16:uniqueId val="{00000002-71A8-4F9D-96A7-F827B1B3FBC2}"/>
            </c:ext>
          </c:extLst>
        </c:ser>
        <c:ser>
          <c:idx val="3"/>
          <c:order val="3"/>
          <c:tx>
            <c:strRef>
              <c:f>'BreakEven Point AZ. A_Prodotti'!$K$6</c:f>
              <c:strCache>
                <c:ptCount val="1"/>
                <c:pt idx="0">
                  <c:v>RICAVI</c:v>
                </c:pt>
              </c:strCache>
            </c:strRef>
          </c:tx>
          <c:spPr>
            <a:ln w="25400">
              <a:solidFill>
                <a:srgbClr val="00FFFF"/>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A_Prodotti'!$L$6:$S$6</c:f>
              <c:numCache>
                <c:formatCode>"€"#,##0.00_);[Red]\("€"#,##0.00\)</c:formatCode>
                <c:ptCount val="8"/>
                <c:pt idx="0">
                  <c:v>0</c:v>
                </c:pt>
                <c:pt idx="1">
                  <c:v>12426843.208735084</c:v>
                </c:pt>
                <c:pt idx="2">
                  <c:v>18640264.813102625</c:v>
                </c:pt>
                <c:pt idx="3">
                  <c:v>24853686.417470168</c:v>
                </c:pt>
                <c:pt idx="4">
                  <c:v>31067108.021837708</c:v>
                </c:pt>
                <c:pt idx="5">
                  <c:v>37280529.626205251</c:v>
                </c:pt>
                <c:pt idx="6">
                  <c:v>43493951.23057279</c:v>
                </c:pt>
                <c:pt idx="7">
                  <c:v>49707372.834940337</c:v>
                </c:pt>
              </c:numCache>
            </c:numRef>
          </c:yVal>
          <c:smooth val="0"/>
          <c:extLst>
            <c:ext xmlns:c16="http://schemas.microsoft.com/office/drawing/2014/chart" uri="{C3380CC4-5D6E-409C-BE32-E72D297353CC}">
              <c16:uniqueId val="{00000003-71A8-4F9D-96A7-F827B1B3FBC2}"/>
            </c:ext>
          </c:extLst>
        </c:ser>
        <c:dLbls>
          <c:showLegendKey val="0"/>
          <c:showVal val="0"/>
          <c:showCatName val="0"/>
          <c:showSerName val="0"/>
          <c:showPercent val="0"/>
          <c:showBubbleSize val="0"/>
        </c:dLbls>
        <c:axId val="432291135"/>
        <c:axId val="1"/>
      </c:scatterChart>
      <c:valAx>
        <c:axId val="432291135"/>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432291135"/>
        <c:crosses val="autoZero"/>
        <c:crossBetween val="midCat"/>
      </c:valAx>
      <c:spPr>
        <a:solidFill>
          <a:srgbClr val="C0C0C0"/>
        </a:solidFill>
        <a:ln w="12700">
          <a:solidFill>
            <a:srgbClr val="808080"/>
          </a:solidFill>
          <a:prstDash val="solid"/>
        </a:ln>
      </c:spPr>
    </c:plotArea>
    <c:legend>
      <c:legendPos val="r"/>
      <c:layout>
        <c:manualLayout>
          <c:xMode val="edge"/>
          <c:yMode val="edge"/>
          <c:x val="0.20017468404684707"/>
          <c:y val="0.14732605792696965"/>
          <c:w val="0.23213538013630647"/>
          <c:h val="0.26935350186489848"/>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19DA-4DDD-BD62-33DDB6133558}"/>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19DA-4DDD-BD62-33DDB6133558}"/>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19DA-4DDD-BD62-33DDB6133558}"/>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19DA-4DDD-BD62-33DDB6133558}"/>
            </c:ext>
          </c:extLst>
        </c:ser>
        <c:dLbls>
          <c:showLegendKey val="0"/>
          <c:showVal val="0"/>
          <c:showCatName val="0"/>
          <c:showSerName val="0"/>
          <c:showPercent val="0"/>
          <c:showBubbleSize val="0"/>
        </c:dLbls>
        <c:axId val="532335487"/>
        <c:axId val="1"/>
      </c:scatterChart>
      <c:valAx>
        <c:axId val="5323354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354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0E2B-4B91-AC81-B0CC6470C657}"/>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0E2B-4B91-AC81-B0CC6470C657}"/>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0E2B-4B91-AC81-B0CC6470C657}"/>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0E2B-4B91-AC81-B0CC6470C657}"/>
            </c:ext>
          </c:extLst>
        </c:ser>
        <c:dLbls>
          <c:showLegendKey val="0"/>
          <c:showVal val="0"/>
          <c:showCatName val="0"/>
          <c:showSerName val="0"/>
          <c:showPercent val="0"/>
          <c:showBubbleSize val="0"/>
        </c:dLbls>
        <c:axId val="532318207"/>
        <c:axId val="1"/>
      </c:scatterChart>
      <c:valAx>
        <c:axId val="53231820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1820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1251-4165-9604-B55ECC7BCA53}"/>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1251-4165-9604-B55ECC7BCA53}"/>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1251-4165-9604-B55ECC7BCA53}"/>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1251-4165-9604-B55ECC7BCA53}"/>
            </c:ext>
          </c:extLst>
        </c:ser>
        <c:dLbls>
          <c:showLegendKey val="0"/>
          <c:showVal val="0"/>
          <c:showCatName val="0"/>
          <c:showSerName val="0"/>
          <c:showPercent val="0"/>
          <c:showBubbleSize val="0"/>
        </c:dLbls>
        <c:axId val="532328287"/>
        <c:axId val="1"/>
      </c:scatterChart>
      <c:valAx>
        <c:axId val="5323282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282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2EF1-469A-9A43-6CA7EFB2418D}"/>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2EF1-469A-9A43-6CA7EFB2418D}"/>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2EF1-469A-9A43-6CA7EFB2418D}"/>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2EF1-469A-9A43-6CA7EFB2418D}"/>
            </c:ext>
          </c:extLst>
        </c:ser>
        <c:dLbls>
          <c:showLegendKey val="0"/>
          <c:showVal val="0"/>
          <c:showCatName val="0"/>
          <c:showSerName val="0"/>
          <c:showPercent val="0"/>
          <c:showBubbleSize val="0"/>
        </c:dLbls>
        <c:axId val="532345087"/>
        <c:axId val="1"/>
      </c:scatterChart>
      <c:valAx>
        <c:axId val="5323450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450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6E5A-4E36-AFC2-0B9815E454C7}"/>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6E5A-4E36-AFC2-0B9815E454C7}"/>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6E5A-4E36-AFC2-0B9815E454C7}"/>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6E5A-4E36-AFC2-0B9815E454C7}"/>
            </c:ext>
          </c:extLst>
        </c:ser>
        <c:dLbls>
          <c:showLegendKey val="0"/>
          <c:showVal val="0"/>
          <c:showCatName val="0"/>
          <c:showSerName val="0"/>
          <c:showPercent val="0"/>
          <c:showBubbleSize val="0"/>
        </c:dLbls>
        <c:axId val="532342207"/>
        <c:axId val="1"/>
      </c:scatterChart>
      <c:valAx>
        <c:axId val="53234220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4220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45130641330166"/>
          <c:y val="5.8394299332561905E-2"/>
          <c:w val="0.83847980997624705"/>
          <c:h val="0.84671734032214763"/>
        </c:manualLayout>
      </c:layout>
      <c:scatterChart>
        <c:scatterStyle val="lineMarker"/>
        <c:varyColors val="0"/>
        <c:ser>
          <c:idx val="0"/>
          <c:order val="0"/>
          <c:tx>
            <c:strRef>
              <c:f>'BreakEven Point AZ. B'!$K$3</c:f>
              <c:strCache>
                <c:ptCount val="1"/>
                <c:pt idx="0">
                  <c:v>COSTI FISSI</c:v>
                </c:pt>
              </c:strCache>
            </c:strRef>
          </c:tx>
          <c:spPr>
            <a:ln w="25400">
              <a:solidFill>
                <a:srgbClr val="000080"/>
              </a:solidFill>
              <a:prstDash val="solid"/>
            </a:ln>
          </c:spPr>
          <c:marker>
            <c:symbol val="none"/>
          </c:marker>
          <c:xVal>
            <c:numRef>
              <c:f>'BreakEven Point AZ. B'!$L$2:$S$2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B'!$L$3:$S$3</c:f>
              <c:numCache>
                <c:formatCode>"€"#,##0.00_);[Red]\("€"#,##0.00\)</c:formatCode>
                <c:ptCount val="8"/>
                <c:pt idx="0">
                  <c:v>2783011.6465928</c:v>
                </c:pt>
                <c:pt idx="1">
                  <c:v>2783011.6465928</c:v>
                </c:pt>
                <c:pt idx="2">
                  <c:v>2783011.6465928</c:v>
                </c:pt>
                <c:pt idx="3">
                  <c:v>2783011.6465928</c:v>
                </c:pt>
                <c:pt idx="4">
                  <c:v>2783011.6465928</c:v>
                </c:pt>
                <c:pt idx="5">
                  <c:v>2783011.6465928</c:v>
                </c:pt>
                <c:pt idx="6">
                  <c:v>2783011.6465928</c:v>
                </c:pt>
                <c:pt idx="7">
                  <c:v>2783011.6465928</c:v>
                </c:pt>
              </c:numCache>
            </c:numRef>
          </c:yVal>
          <c:smooth val="0"/>
          <c:extLst>
            <c:ext xmlns:c16="http://schemas.microsoft.com/office/drawing/2014/chart" uri="{C3380CC4-5D6E-409C-BE32-E72D297353CC}">
              <c16:uniqueId val="{00000000-9B61-43A2-958A-ECDB8BA341A0}"/>
            </c:ext>
          </c:extLst>
        </c:ser>
        <c:ser>
          <c:idx val="1"/>
          <c:order val="1"/>
          <c:tx>
            <c:strRef>
              <c:f>'BreakEven Point AZ. B'!$K$4</c:f>
              <c:strCache>
                <c:ptCount val="1"/>
                <c:pt idx="0">
                  <c:v>COSTI VARIABILI</c:v>
                </c:pt>
              </c:strCache>
            </c:strRef>
          </c:tx>
          <c:spPr>
            <a:ln w="25400">
              <a:solidFill>
                <a:srgbClr val="FF00FF"/>
              </a:solidFill>
              <a:prstDash val="solid"/>
            </a:ln>
          </c:spPr>
          <c:marker>
            <c:symbol val="none"/>
          </c:marker>
          <c:xVal>
            <c:numRef>
              <c:f>'BreakEven Point AZ. B'!$L$2:$S$2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B'!$L$4:$S$4</c:f>
              <c:numCache>
                <c:formatCode>"€"#,##0.00_);[Red]\("€"#,##0.00\)</c:formatCode>
                <c:ptCount val="8"/>
                <c:pt idx="0">
                  <c:v>0</c:v>
                </c:pt>
                <c:pt idx="1">
                  <c:v>17560766.512146454</c:v>
                </c:pt>
                <c:pt idx="2">
                  <c:v>26341149.768219683</c:v>
                </c:pt>
                <c:pt idx="3">
                  <c:v>35121533.024292909</c:v>
                </c:pt>
                <c:pt idx="4">
                  <c:v>43901916.280366138</c:v>
                </c:pt>
                <c:pt idx="5">
                  <c:v>52682299.536439367</c:v>
                </c:pt>
                <c:pt idx="6">
                  <c:v>61462682.792512596</c:v>
                </c:pt>
                <c:pt idx="7">
                  <c:v>70243066.048585817</c:v>
                </c:pt>
              </c:numCache>
            </c:numRef>
          </c:yVal>
          <c:smooth val="0"/>
          <c:extLst>
            <c:ext xmlns:c16="http://schemas.microsoft.com/office/drawing/2014/chart" uri="{C3380CC4-5D6E-409C-BE32-E72D297353CC}">
              <c16:uniqueId val="{00000001-9B61-43A2-958A-ECDB8BA341A0}"/>
            </c:ext>
          </c:extLst>
        </c:ser>
        <c:ser>
          <c:idx val="2"/>
          <c:order val="2"/>
          <c:tx>
            <c:strRef>
              <c:f>'BreakEven Point AZ. B'!$K$5</c:f>
              <c:strCache>
                <c:ptCount val="1"/>
                <c:pt idx="0">
                  <c:v>COSTI TOTALI</c:v>
                </c:pt>
              </c:strCache>
            </c:strRef>
          </c:tx>
          <c:spPr>
            <a:ln w="25400">
              <a:solidFill>
                <a:srgbClr val="FFFF00"/>
              </a:solidFill>
              <a:prstDash val="solid"/>
            </a:ln>
          </c:spPr>
          <c:marker>
            <c:symbol val="none"/>
          </c:marker>
          <c:xVal>
            <c:numRef>
              <c:f>'BreakEven Point AZ. B'!$L$2:$S$2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B'!$L$5:$S$5</c:f>
              <c:numCache>
                <c:formatCode>"€"#,##0.00_);[Red]\("€"#,##0.00\)</c:formatCode>
                <c:ptCount val="8"/>
                <c:pt idx="0">
                  <c:v>2783011.6465928</c:v>
                </c:pt>
                <c:pt idx="1">
                  <c:v>20343778.158739254</c:v>
                </c:pt>
                <c:pt idx="2">
                  <c:v>29124161.414812483</c:v>
                </c:pt>
                <c:pt idx="3">
                  <c:v>37904544.670885712</c:v>
                </c:pt>
                <c:pt idx="4">
                  <c:v>46684927.926958941</c:v>
                </c:pt>
                <c:pt idx="5">
                  <c:v>55465311.18303217</c:v>
                </c:pt>
                <c:pt idx="6">
                  <c:v>64245694.439105399</c:v>
                </c:pt>
                <c:pt idx="7">
                  <c:v>73026077.695178613</c:v>
                </c:pt>
              </c:numCache>
            </c:numRef>
          </c:yVal>
          <c:smooth val="0"/>
          <c:extLst>
            <c:ext xmlns:c16="http://schemas.microsoft.com/office/drawing/2014/chart" uri="{C3380CC4-5D6E-409C-BE32-E72D297353CC}">
              <c16:uniqueId val="{00000002-9B61-43A2-958A-ECDB8BA341A0}"/>
            </c:ext>
          </c:extLst>
        </c:ser>
        <c:ser>
          <c:idx val="3"/>
          <c:order val="3"/>
          <c:tx>
            <c:strRef>
              <c:f>'BreakEven Point AZ. B'!$K$6</c:f>
              <c:strCache>
                <c:ptCount val="1"/>
                <c:pt idx="0">
                  <c:v>RICAVI</c:v>
                </c:pt>
              </c:strCache>
            </c:strRef>
          </c:tx>
          <c:spPr>
            <a:ln w="25400">
              <a:solidFill>
                <a:srgbClr val="00FFFF"/>
              </a:solidFill>
              <a:prstDash val="solid"/>
            </a:ln>
          </c:spPr>
          <c:marker>
            <c:symbol val="none"/>
          </c:marker>
          <c:xVal>
            <c:numRef>
              <c:f>'BreakEven Point AZ. B'!$L$2:$S$2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B'!$L$6:$S$6</c:f>
              <c:numCache>
                <c:formatCode>"€"#,##0.00_);[Red]\("€"#,##0.00\)</c:formatCode>
                <c:ptCount val="8"/>
                <c:pt idx="0">
                  <c:v>0</c:v>
                </c:pt>
                <c:pt idx="1">
                  <c:v>13737032.390815364</c:v>
                </c:pt>
                <c:pt idx="2">
                  <c:v>20605548.586223047</c:v>
                </c:pt>
                <c:pt idx="3">
                  <c:v>27474064.781630728</c:v>
                </c:pt>
                <c:pt idx="4">
                  <c:v>34342580.977038413</c:v>
                </c:pt>
                <c:pt idx="5">
                  <c:v>41211097.172446094</c:v>
                </c:pt>
                <c:pt idx="6">
                  <c:v>48079613.367853776</c:v>
                </c:pt>
                <c:pt idx="7">
                  <c:v>54948129.563261457</c:v>
                </c:pt>
              </c:numCache>
            </c:numRef>
          </c:yVal>
          <c:smooth val="0"/>
          <c:extLst>
            <c:ext xmlns:c16="http://schemas.microsoft.com/office/drawing/2014/chart" uri="{C3380CC4-5D6E-409C-BE32-E72D297353CC}">
              <c16:uniqueId val="{00000003-9B61-43A2-958A-ECDB8BA341A0}"/>
            </c:ext>
          </c:extLst>
        </c:ser>
        <c:dLbls>
          <c:showLegendKey val="0"/>
          <c:showVal val="0"/>
          <c:showCatName val="0"/>
          <c:showSerName val="0"/>
          <c:showPercent val="0"/>
          <c:showBubbleSize val="0"/>
        </c:dLbls>
        <c:axId val="532345567"/>
        <c:axId val="1"/>
      </c:scatterChart>
      <c:valAx>
        <c:axId val="53234556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it-IT"/>
          </a:p>
        </c:txPr>
        <c:crossAx val="532345567"/>
        <c:crosses val="autoZero"/>
        <c:crossBetween val="midCat"/>
      </c:valAx>
      <c:spPr>
        <a:solidFill>
          <a:srgbClr val="C0C0C0"/>
        </a:solidFill>
        <a:ln w="12700">
          <a:solidFill>
            <a:srgbClr val="808080"/>
          </a:solidFill>
          <a:prstDash val="solid"/>
        </a:ln>
      </c:spPr>
    </c:plotArea>
    <c:legend>
      <c:legendPos val="r"/>
      <c:layout>
        <c:manualLayout>
          <c:xMode val="edge"/>
          <c:yMode val="edge"/>
          <c:x val="0.14350886569043125"/>
          <c:y val="7.3506517567656984E-2"/>
          <c:w val="0.20846557641833235"/>
          <c:h val="0.30941123536028586"/>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A'!#REF!</c:v>
          </c:tx>
          <c:spPr>
            <a:ln w="25400">
              <a:solidFill>
                <a:srgbClr val="00008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0-4365-4FD5-A5BC-432F3AF17DD8}"/>
            </c:ext>
          </c:extLst>
        </c:ser>
        <c:ser>
          <c:idx val="1"/>
          <c:order val="1"/>
          <c:tx>
            <c:v>'BreakEven Point AZ. A'!#REF!</c:v>
          </c:tx>
          <c:spPr>
            <a:ln w="25400">
              <a:solidFill>
                <a:srgbClr val="FF00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1-4365-4FD5-A5BC-432F3AF17DD8}"/>
            </c:ext>
          </c:extLst>
        </c:ser>
        <c:ser>
          <c:idx val="2"/>
          <c:order val="2"/>
          <c:tx>
            <c:v>'BreakEven Point AZ. A'!#REF!</c:v>
          </c:tx>
          <c:spPr>
            <a:ln w="25400">
              <a:solidFill>
                <a:srgbClr val="FFFF0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2-4365-4FD5-A5BC-432F3AF17DD8}"/>
            </c:ext>
          </c:extLst>
        </c:ser>
        <c:ser>
          <c:idx val="3"/>
          <c:order val="3"/>
          <c:tx>
            <c:v>'BreakEven Point AZ. A'!#REF!</c:v>
          </c:tx>
          <c:spPr>
            <a:ln w="25400">
              <a:solidFill>
                <a:srgbClr val="00FF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3-4365-4FD5-A5BC-432F3AF17DD8}"/>
            </c:ext>
          </c:extLst>
        </c:ser>
        <c:dLbls>
          <c:showLegendKey val="0"/>
          <c:showVal val="0"/>
          <c:showCatName val="0"/>
          <c:showSerName val="0"/>
          <c:showPercent val="0"/>
          <c:showBubbleSize val="0"/>
        </c:dLbls>
        <c:axId val="532285423"/>
        <c:axId val="1"/>
      </c:scatterChart>
      <c:valAx>
        <c:axId val="53228542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28542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B'!#REF!</c:v>
          </c:tx>
          <c:spPr>
            <a:ln w="25400">
              <a:solidFill>
                <a:srgbClr val="00008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0-C1E0-4D3C-A4C2-997AC23858DD}"/>
            </c:ext>
          </c:extLst>
        </c:ser>
        <c:ser>
          <c:idx val="1"/>
          <c:order val="1"/>
          <c:tx>
            <c:v>'BreakEven Point AZ. B'!#REF!</c:v>
          </c:tx>
          <c:spPr>
            <a:ln w="25400">
              <a:solidFill>
                <a:srgbClr val="FF00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1-C1E0-4D3C-A4C2-997AC23858DD}"/>
            </c:ext>
          </c:extLst>
        </c:ser>
        <c:ser>
          <c:idx val="2"/>
          <c:order val="2"/>
          <c:tx>
            <c:v>'BreakEven Point AZ. B'!#REF!</c:v>
          </c:tx>
          <c:spPr>
            <a:ln w="25400">
              <a:solidFill>
                <a:srgbClr val="FFFF0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2-C1E0-4D3C-A4C2-997AC23858DD}"/>
            </c:ext>
          </c:extLst>
        </c:ser>
        <c:ser>
          <c:idx val="3"/>
          <c:order val="3"/>
          <c:tx>
            <c:v>'BreakEven Point AZ. B'!#REF!</c:v>
          </c:tx>
          <c:spPr>
            <a:ln w="25400">
              <a:solidFill>
                <a:srgbClr val="00FF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3-C1E0-4D3C-A4C2-997AC23858DD}"/>
            </c:ext>
          </c:extLst>
        </c:ser>
        <c:dLbls>
          <c:showLegendKey val="0"/>
          <c:showVal val="0"/>
          <c:showCatName val="0"/>
          <c:showSerName val="0"/>
          <c:showPercent val="0"/>
          <c:showBubbleSize val="0"/>
        </c:dLbls>
        <c:axId val="532321087"/>
        <c:axId val="1"/>
      </c:scatterChart>
      <c:valAx>
        <c:axId val="5323210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210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B'!#REF!</c:v>
          </c:tx>
          <c:spPr>
            <a:ln w="25400">
              <a:solidFill>
                <a:srgbClr val="00008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0-89F8-4BF7-85C8-4E725FC3F519}"/>
            </c:ext>
          </c:extLst>
        </c:ser>
        <c:ser>
          <c:idx val="1"/>
          <c:order val="1"/>
          <c:tx>
            <c:v>'BreakEven Point AZ. B'!#REF!</c:v>
          </c:tx>
          <c:spPr>
            <a:ln w="25400">
              <a:solidFill>
                <a:srgbClr val="FF00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1-89F8-4BF7-85C8-4E725FC3F519}"/>
            </c:ext>
          </c:extLst>
        </c:ser>
        <c:ser>
          <c:idx val="2"/>
          <c:order val="2"/>
          <c:tx>
            <c:v>'BreakEven Point AZ. B'!#REF!</c:v>
          </c:tx>
          <c:spPr>
            <a:ln w="25400">
              <a:solidFill>
                <a:srgbClr val="FFFF0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2-89F8-4BF7-85C8-4E725FC3F519}"/>
            </c:ext>
          </c:extLst>
        </c:ser>
        <c:ser>
          <c:idx val="3"/>
          <c:order val="3"/>
          <c:tx>
            <c:v>'BreakEven Point AZ. B'!#REF!</c:v>
          </c:tx>
          <c:spPr>
            <a:ln w="25400">
              <a:solidFill>
                <a:srgbClr val="00FF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3-89F8-4BF7-85C8-4E725FC3F519}"/>
            </c:ext>
          </c:extLst>
        </c:ser>
        <c:dLbls>
          <c:showLegendKey val="0"/>
          <c:showVal val="0"/>
          <c:showCatName val="0"/>
          <c:showSerName val="0"/>
          <c:showPercent val="0"/>
          <c:showBubbleSize val="0"/>
        </c:dLbls>
        <c:axId val="532339327"/>
        <c:axId val="1"/>
      </c:scatterChart>
      <c:valAx>
        <c:axId val="53233932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3932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B'!#REF!</c:v>
          </c:tx>
          <c:spPr>
            <a:ln w="25400">
              <a:solidFill>
                <a:srgbClr val="00008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0-5A06-4852-841A-38C6E39EBCE4}"/>
            </c:ext>
          </c:extLst>
        </c:ser>
        <c:ser>
          <c:idx val="1"/>
          <c:order val="1"/>
          <c:tx>
            <c:v>'BreakEven Point AZ. B'!#REF!</c:v>
          </c:tx>
          <c:spPr>
            <a:ln w="25400">
              <a:solidFill>
                <a:srgbClr val="FF00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1-5A06-4852-841A-38C6E39EBCE4}"/>
            </c:ext>
          </c:extLst>
        </c:ser>
        <c:ser>
          <c:idx val="2"/>
          <c:order val="2"/>
          <c:tx>
            <c:v>'BreakEven Point AZ. B'!#REF!</c:v>
          </c:tx>
          <c:spPr>
            <a:ln w="25400">
              <a:solidFill>
                <a:srgbClr val="FFFF0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2-5A06-4852-841A-38C6E39EBCE4}"/>
            </c:ext>
          </c:extLst>
        </c:ser>
        <c:ser>
          <c:idx val="3"/>
          <c:order val="3"/>
          <c:tx>
            <c:v>'BreakEven Point AZ. B'!#REF!</c:v>
          </c:tx>
          <c:spPr>
            <a:ln w="25400">
              <a:solidFill>
                <a:srgbClr val="00FF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3-5A06-4852-841A-38C6E39EBCE4}"/>
            </c:ext>
          </c:extLst>
        </c:ser>
        <c:dLbls>
          <c:showLegendKey val="0"/>
          <c:showVal val="0"/>
          <c:showCatName val="0"/>
          <c:showSerName val="0"/>
          <c:showPercent val="0"/>
          <c:showBubbleSize val="0"/>
        </c:dLbls>
        <c:axId val="441102639"/>
        <c:axId val="1"/>
      </c:scatterChart>
      <c:valAx>
        <c:axId val="44110263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0263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B'!#REF!</c:v>
          </c:tx>
          <c:spPr>
            <a:ln w="25400">
              <a:solidFill>
                <a:srgbClr val="00008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0-1555-42C8-ADEC-9B9697F52A29}"/>
            </c:ext>
          </c:extLst>
        </c:ser>
        <c:ser>
          <c:idx val="1"/>
          <c:order val="1"/>
          <c:tx>
            <c:v>'BreakEven Point AZ. B'!#REF!</c:v>
          </c:tx>
          <c:spPr>
            <a:ln w="25400">
              <a:solidFill>
                <a:srgbClr val="FF00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1-1555-42C8-ADEC-9B9697F52A29}"/>
            </c:ext>
          </c:extLst>
        </c:ser>
        <c:ser>
          <c:idx val="2"/>
          <c:order val="2"/>
          <c:tx>
            <c:v>'BreakEven Point AZ. B'!#REF!</c:v>
          </c:tx>
          <c:spPr>
            <a:ln w="25400">
              <a:solidFill>
                <a:srgbClr val="FFFF0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2-1555-42C8-ADEC-9B9697F52A29}"/>
            </c:ext>
          </c:extLst>
        </c:ser>
        <c:ser>
          <c:idx val="3"/>
          <c:order val="3"/>
          <c:tx>
            <c:v>'BreakEven Point AZ. B'!#REF!</c:v>
          </c:tx>
          <c:spPr>
            <a:ln w="25400">
              <a:solidFill>
                <a:srgbClr val="00FF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3-1555-42C8-ADEC-9B9697F52A29}"/>
            </c:ext>
          </c:extLst>
        </c:ser>
        <c:dLbls>
          <c:showLegendKey val="0"/>
          <c:showVal val="0"/>
          <c:showCatName val="0"/>
          <c:showSerName val="0"/>
          <c:showPercent val="0"/>
          <c:showBubbleSize val="0"/>
        </c:dLbls>
        <c:axId val="441109839"/>
        <c:axId val="1"/>
      </c:scatterChart>
      <c:valAx>
        <c:axId val="44110983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0983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B'!#REF!</c:v>
          </c:tx>
          <c:spPr>
            <a:ln w="25400">
              <a:solidFill>
                <a:srgbClr val="00008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0-9240-4B5D-85A9-FE55508A7CE8}"/>
            </c:ext>
          </c:extLst>
        </c:ser>
        <c:ser>
          <c:idx val="1"/>
          <c:order val="1"/>
          <c:tx>
            <c:v>'BreakEven Point AZ. B'!#REF!</c:v>
          </c:tx>
          <c:spPr>
            <a:ln w="25400">
              <a:solidFill>
                <a:srgbClr val="FF00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1-9240-4B5D-85A9-FE55508A7CE8}"/>
            </c:ext>
          </c:extLst>
        </c:ser>
        <c:ser>
          <c:idx val="2"/>
          <c:order val="2"/>
          <c:tx>
            <c:v>'BreakEven Point AZ. B'!#REF!</c:v>
          </c:tx>
          <c:spPr>
            <a:ln w="25400">
              <a:solidFill>
                <a:srgbClr val="FFFF00"/>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2-9240-4B5D-85A9-FE55508A7CE8}"/>
            </c:ext>
          </c:extLst>
        </c:ser>
        <c:ser>
          <c:idx val="3"/>
          <c:order val="3"/>
          <c:tx>
            <c:v>'BreakEven Point AZ. B'!#REF!</c:v>
          </c:tx>
          <c:spPr>
            <a:ln w="25400">
              <a:solidFill>
                <a:srgbClr val="00FFFF"/>
              </a:solidFill>
              <a:prstDash val="solid"/>
            </a:ln>
          </c:spPr>
          <c:marker>
            <c:symbol val="none"/>
          </c:marker>
          <c:xVal>
            <c:numRef>
              <c:f>'BreakEven Point AZ. B'!#REF!</c:f>
              <c:numCache>
                <c:formatCode>General</c:formatCode>
                <c:ptCount val="1"/>
                <c:pt idx="0">
                  <c:v>1</c:v>
                </c:pt>
              </c:numCache>
            </c:numRef>
          </c:xVal>
          <c:yVal>
            <c:numRef>
              <c:f>'BreakEven Point AZ. B'!#REF!</c:f>
              <c:numCache>
                <c:formatCode>General</c:formatCode>
                <c:ptCount val="1"/>
                <c:pt idx="0">
                  <c:v>1</c:v>
                </c:pt>
              </c:numCache>
            </c:numRef>
          </c:yVal>
          <c:smooth val="0"/>
          <c:extLst>
            <c:ext xmlns:c16="http://schemas.microsoft.com/office/drawing/2014/chart" uri="{C3380CC4-5D6E-409C-BE32-E72D297353CC}">
              <c16:uniqueId val="{00000003-9240-4B5D-85A9-FE55508A7CE8}"/>
            </c:ext>
          </c:extLst>
        </c:ser>
        <c:dLbls>
          <c:showLegendKey val="0"/>
          <c:showVal val="0"/>
          <c:showCatName val="0"/>
          <c:showSerName val="0"/>
          <c:showPercent val="0"/>
          <c:showBubbleSize val="0"/>
        </c:dLbls>
        <c:axId val="441121839"/>
        <c:axId val="1"/>
      </c:scatterChart>
      <c:valAx>
        <c:axId val="44112183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2183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160319217509"/>
          <c:y val="5.0739957716701901E-2"/>
          <c:w val="0.82142963250975598"/>
          <c:h val="0.86680761099365755"/>
        </c:manualLayout>
      </c:layout>
      <c:scatterChart>
        <c:scatterStyle val="lineMarker"/>
        <c:varyColors val="0"/>
        <c:ser>
          <c:idx val="0"/>
          <c:order val="0"/>
          <c:tx>
            <c:strRef>
              <c:f>'BreakEven Point AZ. B_Prodotti'!$K$3</c:f>
              <c:strCache>
                <c:ptCount val="1"/>
                <c:pt idx="0">
                  <c:v>COSTI FISSI</c:v>
                </c:pt>
              </c:strCache>
            </c:strRef>
          </c:tx>
          <c:spPr>
            <a:ln w="25400">
              <a:solidFill>
                <a:srgbClr val="000080"/>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B_Prodotti'!$L$3:$S$3</c:f>
              <c:numCache>
                <c:formatCode>"€"#,##0.00_);[Red]\("€"#,##0.00\)</c:formatCode>
                <c:ptCount val="8"/>
                <c:pt idx="0">
                  <c:v>1395129.6673071578</c:v>
                </c:pt>
                <c:pt idx="1">
                  <c:v>1395129.6673071578</c:v>
                </c:pt>
                <c:pt idx="2">
                  <c:v>1395129.6673071578</c:v>
                </c:pt>
                <c:pt idx="3">
                  <c:v>1395129.6673071578</c:v>
                </c:pt>
                <c:pt idx="4">
                  <c:v>1395129.6673071578</c:v>
                </c:pt>
                <c:pt idx="5">
                  <c:v>1395129.6673071578</c:v>
                </c:pt>
                <c:pt idx="6">
                  <c:v>1395129.6673071578</c:v>
                </c:pt>
                <c:pt idx="7">
                  <c:v>1395129.6673071578</c:v>
                </c:pt>
              </c:numCache>
            </c:numRef>
          </c:yVal>
          <c:smooth val="0"/>
          <c:extLst>
            <c:ext xmlns:c16="http://schemas.microsoft.com/office/drawing/2014/chart" uri="{C3380CC4-5D6E-409C-BE32-E72D297353CC}">
              <c16:uniqueId val="{00000000-399D-47FB-8ADF-27867DCF2B82}"/>
            </c:ext>
          </c:extLst>
        </c:ser>
        <c:ser>
          <c:idx val="1"/>
          <c:order val="1"/>
          <c:tx>
            <c:strRef>
              <c:f>'BreakEven Point AZ. B_Prodotti'!$K$4</c:f>
              <c:strCache>
                <c:ptCount val="1"/>
                <c:pt idx="0">
                  <c:v>COSTI VARIABILI</c:v>
                </c:pt>
              </c:strCache>
            </c:strRef>
          </c:tx>
          <c:spPr>
            <a:ln w="25400">
              <a:solidFill>
                <a:srgbClr val="FF00FF"/>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B_Prodotti'!$L$4:$S$4</c:f>
              <c:numCache>
                <c:formatCode>"€"#,##0.00_);[Red]\("€"#,##0.00\)</c:formatCode>
                <c:ptCount val="8"/>
                <c:pt idx="0">
                  <c:v>0</c:v>
                </c:pt>
                <c:pt idx="1">
                  <c:v>12236243.283680325</c:v>
                </c:pt>
                <c:pt idx="2">
                  <c:v>18354364.925520487</c:v>
                </c:pt>
                <c:pt idx="3">
                  <c:v>24472486.567360651</c:v>
                </c:pt>
                <c:pt idx="4">
                  <c:v>30590608.209200814</c:v>
                </c:pt>
                <c:pt idx="5">
                  <c:v>36708729.851040974</c:v>
                </c:pt>
                <c:pt idx="6">
                  <c:v>42826851.492881142</c:v>
                </c:pt>
                <c:pt idx="7">
                  <c:v>48944973.134721301</c:v>
                </c:pt>
              </c:numCache>
            </c:numRef>
          </c:yVal>
          <c:smooth val="0"/>
          <c:extLst>
            <c:ext xmlns:c16="http://schemas.microsoft.com/office/drawing/2014/chart" uri="{C3380CC4-5D6E-409C-BE32-E72D297353CC}">
              <c16:uniqueId val="{00000001-399D-47FB-8ADF-27867DCF2B82}"/>
            </c:ext>
          </c:extLst>
        </c:ser>
        <c:ser>
          <c:idx val="2"/>
          <c:order val="2"/>
          <c:tx>
            <c:strRef>
              <c:f>'BreakEven Point AZ. B_Prodotti'!$K$5</c:f>
              <c:strCache>
                <c:ptCount val="1"/>
                <c:pt idx="0">
                  <c:v>COSTI TOTALI</c:v>
                </c:pt>
              </c:strCache>
            </c:strRef>
          </c:tx>
          <c:spPr>
            <a:ln w="25400">
              <a:solidFill>
                <a:srgbClr val="FFFF00"/>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B_Prodotti'!$L$5:$S$5</c:f>
              <c:numCache>
                <c:formatCode>"€"#,##0.00_);[Red]\("€"#,##0.00\)</c:formatCode>
                <c:ptCount val="8"/>
                <c:pt idx="0">
                  <c:v>1395129.6673071578</c:v>
                </c:pt>
                <c:pt idx="1">
                  <c:v>13631372.950987482</c:v>
                </c:pt>
                <c:pt idx="2">
                  <c:v>19749494.592827644</c:v>
                </c:pt>
                <c:pt idx="3">
                  <c:v>25867616.234667808</c:v>
                </c:pt>
                <c:pt idx="4">
                  <c:v>31985737.876507971</c:v>
                </c:pt>
                <c:pt idx="5">
                  <c:v>38103859.518348135</c:v>
                </c:pt>
                <c:pt idx="6">
                  <c:v>44221981.160188302</c:v>
                </c:pt>
                <c:pt idx="7">
                  <c:v>50340102.802028462</c:v>
                </c:pt>
              </c:numCache>
            </c:numRef>
          </c:yVal>
          <c:smooth val="0"/>
          <c:extLst>
            <c:ext xmlns:c16="http://schemas.microsoft.com/office/drawing/2014/chart" uri="{C3380CC4-5D6E-409C-BE32-E72D297353CC}">
              <c16:uniqueId val="{00000002-399D-47FB-8ADF-27867DCF2B82}"/>
            </c:ext>
          </c:extLst>
        </c:ser>
        <c:ser>
          <c:idx val="3"/>
          <c:order val="3"/>
          <c:tx>
            <c:strRef>
              <c:f>'BreakEven Point AZ. B_Prodotti'!$K$6</c:f>
              <c:strCache>
                <c:ptCount val="1"/>
                <c:pt idx="0">
                  <c:v>RICAVI</c:v>
                </c:pt>
              </c:strCache>
            </c:strRef>
          </c:tx>
          <c:spPr>
            <a:ln w="25400">
              <a:solidFill>
                <a:srgbClr val="00FFFF"/>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B_Prodotti'!$L$6:$S$6</c:f>
              <c:numCache>
                <c:formatCode>"€"#,##0.00_);[Red]\("€"#,##0.00\)</c:formatCode>
                <c:ptCount val="8"/>
                <c:pt idx="0">
                  <c:v>0</c:v>
                </c:pt>
                <c:pt idx="1">
                  <c:v>13033158.177570621</c:v>
                </c:pt>
                <c:pt idx="2">
                  <c:v>19549737.266355932</c:v>
                </c:pt>
                <c:pt idx="3">
                  <c:v>26066316.355141241</c:v>
                </c:pt>
                <c:pt idx="4">
                  <c:v>32582895.44392655</c:v>
                </c:pt>
                <c:pt idx="5">
                  <c:v>39099474.532711864</c:v>
                </c:pt>
                <c:pt idx="6">
                  <c:v>45616053.621497169</c:v>
                </c:pt>
                <c:pt idx="7">
                  <c:v>52132632.710282482</c:v>
                </c:pt>
              </c:numCache>
            </c:numRef>
          </c:yVal>
          <c:smooth val="0"/>
          <c:extLst>
            <c:ext xmlns:c16="http://schemas.microsoft.com/office/drawing/2014/chart" uri="{C3380CC4-5D6E-409C-BE32-E72D297353CC}">
              <c16:uniqueId val="{00000003-399D-47FB-8ADF-27867DCF2B82}"/>
            </c:ext>
          </c:extLst>
        </c:ser>
        <c:dLbls>
          <c:showLegendKey val="0"/>
          <c:showVal val="0"/>
          <c:showCatName val="0"/>
          <c:showSerName val="0"/>
          <c:showPercent val="0"/>
          <c:showBubbleSize val="0"/>
        </c:dLbls>
        <c:axId val="441108879"/>
        <c:axId val="1"/>
      </c:scatterChart>
      <c:valAx>
        <c:axId val="44110887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441108879"/>
        <c:crosses val="autoZero"/>
        <c:crossBetween val="midCat"/>
      </c:valAx>
      <c:spPr>
        <a:solidFill>
          <a:srgbClr val="C0C0C0"/>
        </a:solidFill>
        <a:ln w="12700">
          <a:solidFill>
            <a:srgbClr val="808080"/>
          </a:solidFill>
          <a:prstDash val="solid"/>
        </a:ln>
      </c:spPr>
    </c:plotArea>
    <c:legend>
      <c:legendPos val="r"/>
      <c:layout>
        <c:manualLayout>
          <c:xMode val="edge"/>
          <c:yMode val="edge"/>
          <c:x val="0.16484973201879177"/>
          <c:y val="0.14881406271584474"/>
          <c:w val="0.23213538013630647"/>
          <c:h val="0.26935350186489848"/>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69A0-49EC-9036-95840CB19E05}"/>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69A0-49EC-9036-95840CB19E05}"/>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69A0-49EC-9036-95840CB19E05}"/>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69A0-49EC-9036-95840CB19E05}"/>
            </c:ext>
          </c:extLst>
        </c:ser>
        <c:dLbls>
          <c:showLegendKey val="0"/>
          <c:showVal val="0"/>
          <c:showCatName val="0"/>
          <c:showSerName val="0"/>
          <c:showPercent val="0"/>
          <c:showBubbleSize val="0"/>
        </c:dLbls>
        <c:axId val="441132399"/>
        <c:axId val="1"/>
      </c:scatterChart>
      <c:valAx>
        <c:axId val="44113239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3239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DC44-4E94-AA65-88064E2EF414}"/>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DC44-4E94-AA65-88064E2EF414}"/>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DC44-4E94-AA65-88064E2EF414}"/>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DC44-4E94-AA65-88064E2EF414}"/>
            </c:ext>
          </c:extLst>
        </c:ser>
        <c:dLbls>
          <c:showLegendKey val="0"/>
          <c:showVal val="0"/>
          <c:showCatName val="0"/>
          <c:showSerName val="0"/>
          <c:showPercent val="0"/>
          <c:showBubbleSize val="0"/>
        </c:dLbls>
        <c:axId val="441107919"/>
        <c:axId val="1"/>
      </c:scatterChart>
      <c:valAx>
        <c:axId val="44110791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0791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5523-451C-8458-A571BD6C7672}"/>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5523-451C-8458-A571BD6C7672}"/>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5523-451C-8458-A571BD6C7672}"/>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5523-451C-8458-A571BD6C7672}"/>
            </c:ext>
          </c:extLst>
        </c:ser>
        <c:dLbls>
          <c:showLegendKey val="0"/>
          <c:showVal val="0"/>
          <c:showCatName val="0"/>
          <c:showSerName val="0"/>
          <c:showPercent val="0"/>
          <c:showBubbleSize val="0"/>
        </c:dLbls>
        <c:axId val="441112719"/>
        <c:axId val="1"/>
      </c:scatterChart>
      <c:valAx>
        <c:axId val="44111271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1271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D7B5-461B-A7CE-86182FAB1722}"/>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D7B5-461B-A7CE-86182FAB1722}"/>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D7B5-461B-A7CE-86182FAB1722}"/>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D7B5-461B-A7CE-86182FAB1722}"/>
            </c:ext>
          </c:extLst>
        </c:ser>
        <c:dLbls>
          <c:showLegendKey val="0"/>
          <c:showVal val="0"/>
          <c:showCatName val="0"/>
          <c:showSerName val="0"/>
          <c:showPercent val="0"/>
          <c:showBubbleSize val="0"/>
        </c:dLbls>
        <c:axId val="441115599"/>
        <c:axId val="1"/>
      </c:scatterChart>
      <c:valAx>
        <c:axId val="44111559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1559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A'!#REF!</c:v>
          </c:tx>
          <c:spPr>
            <a:ln w="25400">
              <a:solidFill>
                <a:srgbClr val="00008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0-211C-4941-9395-712487501A85}"/>
            </c:ext>
          </c:extLst>
        </c:ser>
        <c:ser>
          <c:idx val="1"/>
          <c:order val="1"/>
          <c:tx>
            <c:v>'BreakEven Point AZ. A'!#REF!</c:v>
          </c:tx>
          <c:spPr>
            <a:ln w="25400">
              <a:solidFill>
                <a:srgbClr val="FF00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1-211C-4941-9395-712487501A85}"/>
            </c:ext>
          </c:extLst>
        </c:ser>
        <c:ser>
          <c:idx val="2"/>
          <c:order val="2"/>
          <c:tx>
            <c:v>'BreakEven Point AZ. A'!#REF!</c:v>
          </c:tx>
          <c:spPr>
            <a:ln w="25400">
              <a:solidFill>
                <a:srgbClr val="FFFF0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2-211C-4941-9395-712487501A85}"/>
            </c:ext>
          </c:extLst>
        </c:ser>
        <c:ser>
          <c:idx val="3"/>
          <c:order val="3"/>
          <c:tx>
            <c:v>'BreakEven Point AZ. A'!#REF!</c:v>
          </c:tx>
          <c:spPr>
            <a:ln w="25400">
              <a:solidFill>
                <a:srgbClr val="00FF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3-211C-4941-9395-712487501A85}"/>
            </c:ext>
          </c:extLst>
        </c:ser>
        <c:dLbls>
          <c:showLegendKey val="0"/>
          <c:showVal val="0"/>
          <c:showCatName val="0"/>
          <c:showSerName val="0"/>
          <c:showPercent val="0"/>
          <c:showBubbleSize val="0"/>
        </c:dLbls>
        <c:axId val="532305583"/>
        <c:axId val="1"/>
      </c:scatterChart>
      <c:valAx>
        <c:axId val="53230558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30558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1532-4F74-813F-FA32D0466333}"/>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1532-4F74-813F-FA32D0466333}"/>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1532-4F74-813F-FA32D0466333}"/>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1532-4F74-813F-FA32D0466333}"/>
            </c:ext>
          </c:extLst>
        </c:ser>
        <c:dLbls>
          <c:showLegendKey val="0"/>
          <c:showVal val="0"/>
          <c:showCatName val="0"/>
          <c:showSerName val="0"/>
          <c:showPercent val="0"/>
          <c:showBubbleSize val="0"/>
        </c:dLbls>
        <c:axId val="441134799"/>
        <c:axId val="1"/>
      </c:scatterChart>
      <c:valAx>
        <c:axId val="441134799"/>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134799"/>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160319217509"/>
          <c:y val="5.0739957716701901E-2"/>
          <c:w val="0.82142963250975598"/>
          <c:h val="0.86680761099365755"/>
        </c:manualLayout>
      </c:layout>
      <c:scatterChart>
        <c:scatterStyle val="lineMarker"/>
        <c:varyColors val="0"/>
        <c:ser>
          <c:idx val="0"/>
          <c:order val="0"/>
          <c:tx>
            <c:strRef>
              <c:f>'BreakEven Point AZ. B_Prodotti'!$K$3</c:f>
              <c:strCache>
                <c:ptCount val="1"/>
                <c:pt idx="0">
                  <c:v>COSTI FISSI</c:v>
                </c:pt>
              </c:strCache>
            </c:strRef>
          </c:tx>
          <c:spPr>
            <a:ln w="25400">
              <a:solidFill>
                <a:srgbClr val="000080"/>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B_Prodotti'!$L$3:$S$3</c:f>
              <c:numCache>
                <c:formatCode>"€"#,##0.00_);[Red]\("€"#,##0.00\)</c:formatCode>
                <c:ptCount val="8"/>
                <c:pt idx="0">
                  <c:v>1395129.6673071578</c:v>
                </c:pt>
                <c:pt idx="1">
                  <c:v>1395129.6673071578</c:v>
                </c:pt>
                <c:pt idx="2">
                  <c:v>1395129.6673071578</c:v>
                </c:pt>
                <c:pt idx="3">
                  <c:v>1395129.6673071578</c:v>
                </c:pt>
                <c:pt idx="4">
                  <c:v>1395129.6673071578</c:v>
                </c:pt>
                <c:pt idx="5">
                  <c:v>1395129.6673071578</c:v>
                </c:pt>
                <c:pt idx="6">
                  <c:v>1395129.6673071578</c:v>
                </c:pt>
                <c:pt idx="7">
                  <c:v>1395129.6673071578</c:v>
                </c:pt>
              </c:numCache>
            </c:numRef>
          </c:yVal>
          <c:smooth val="0"/>
          <c:extLst>
            <c:ext xmlns:c16="http://schemas.microsoft.com/office/drawing/2014/chart" uri="{C3380CC4-5D6E-409C-BE32-E72D297353CC}">
              <c16:uniqueId val="{00000000-B657-4E74-AFBC-10C1DEC75D62}"/>
            </c:ext>
          </c:extLst>
        </c:ser>
        <c:ser>
          <c:idx val="1"/>
          <c:order val="1"/>
          <c:tx>
            <c:strRef>
              <c:f>'BreakEven Point AZ. B_Prodotti'!$K$4</c:f>
              <c:strCache>
                <c:ptCount val="1"/>
                <c:pt idx="0">
                  <c:v>COSTI VARIABILI</c:v>
                </c:pt>
              </c:strCache>
            </c:strRef>
          </c:tx>
          <c:spPr>
            <a:ln w="25400">
              <a:solidFill>
                <a:srgbClr val="FF00FF"/>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B_Prodotti'!$L$4:$S$4</c:f>
              <c:numCache>
                <c:formatCode>"€"#,##0.00_);[Red]\("€"#,##0.00\)</c:formatCode>
                <c:ptCount val="8"/>
                <c:pt idx="0">
                  <c:v>0</c:v>
                </c:pt>
                <c:pt idx="1">
                  <c:v>12236243.283680325</c:v>
                </c:pt>
                <c:pt idx="2">
                  <c:v>18354364.925520487</c:v>
                </c:pt>
                <c:pt idx="3">
                  <c:v>24472486.567360651</c:v>
                </c:pt>
                <c:pt idx="4">
                  <c:v>30590608.209200814</c:v>
                </c:pt>
                <c:pt idx="5">
                  <c:v>36708729.851040974</c:v>
                </c:pt>
                <c:pt idx="6">
                  <c:v>42826851.492881142</c:v>
                </c:pt>
                <c:pt idx="7">
                  <c:v>48944973.134721301</c:v>
                </c:pt>
              </c:numCache>
            </c:numRef>
          </c:yVal>
          <c:smooth val="0"/>
          <c:extLst>
            <c:ext xmlns:c16="http://schemas.microsoft.com/office/drawing/2014/chart" uri="{C3380CC4-5D6E-409C-BE32-E72D297353CC}">
              <c16:uniqueId val="{00000001-B657-4E74-AFBC-10C1DEC75D62}"/>
            </c:ext>
          </c:extLst>
        </c:ser>
        <c:ser>
          <c:idx val="2"/>
          <c:order val="2"/>
          <c:tx>
            <c:strRef>
              <c:f>'BreakEven Point AZ. B_Prodotti'!$K$5</c:f>
              <c:strCache>
                <c:ptCount val="1"/>
                <c:pt idx="0">
                  <c:v>COSTI TOTALI</c:v>
                </c:pt>
              </c:strCache>
            </c:strRef>
          </c:tx>
          <c:spPr>
            <a:ln w="25400">
              <a:solidFill>
                <a:srgbClr val="FFFF00"/>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B_Prodotti'!$L$5:$S$5</c:f>
              <c:numCache>
                <c:formatCode>"€"#,##0.00_);[Red]\("€"#,##0.00\)</c:formatCode>
                <c:ptCount val="8"/>
                <c:pt idx="0">
                  <c:v>1395129.6673071578</c:v>
                </c:pt>
                <c:pt idx="1">
                  <c:v>13631372.950987482</c:v>
                </c:pt>
                <c:pt idx="2">
                  <c:v>19749494.592827644</c:v>
                </c:pt>
                <c:pt idx="3">
                  <c:v>25867616.234667808</c:v>
                </c:pt>
                <c:pt idx="4">
                  <c:v>31985737.876507971</c:v>
                </c:pt>
                <c:pt idx="5">
                  <c:v>38103859.518348135</c:v>
                </c:pt>
                <c:pt idx="6">
                  <c:v>44221981.160188302</c:v>
                </c:pt>
                <c:pt idx="7">
                  <c:v>50340102.802028462</c:v>
                </c:pt>
              </c:numCache>
            </c:numRef>
          </c:yVal>
          <c:smooth val="0"/>
          <c:extLst>
            <c:ext xmlns:c16="http://schemas.microsoft.com/office/drawing/2014/chart" uri="{C3380CC4-5D6E-409C-BE32-E72D297353CC}">
              <c16:uniqueId val="{00000002-B657-4E74-AFBC-10C1DEC75D62}"/>
            </c:ext>
          </c:extLst>
        </c:ser>
        <c:ser>
          <c:idx val="3"/>
          <c:order val="3"/>
          <c:tx>
            <c:strRef>
              <c:f>'BreakEven Point AZ. B_Prodotti'!$K$6</c:f>
              <c:strCache>
                <c:ptCount val="1"/>
                <c:pt idx="0">
                  <c:v>RICAVI</c:v>
                </c:pt>
              </c:strCache>
            </c:strRef>
          </c:tx>
          <c:spPr>
            <a:ln w="25400">
              <a:solidFill>
                <a:srgbClr val="00FFFF"/>
              </a:solidFill>
              <a:prstDash val="solid"/>
            </a:ln>
          </c:spPr>
          <c:marker>
            <c:symbol val="none"/>
          </c:marker>
          <c:xVal>
            <c:numRef>
              <c:f>'BreakEven Point AZ. B_Prodotti'!$L$2:$S$2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B_Prodotti'!$L$6:$S$6</c:f>
              <c:numCache>
                <c:formatCode>"€"#,##0.00_);[Red]\("€"#,##0.00\)</c:formatCode>
                <c:ptCount val="8"/>
                <c:pt idx="0">
                  <c:v>0</c:v>
                </c:pt>
                <c:pt idx="1">
                  <c:v>13033158.177570621</c:v>
                </c:pt>
                <c:pt idx="2">
                  <c:v>19549737.266355932</c:v>
                </c:pt>
                <c:pt idx="3">
                  <c:v>26066316.355141241</c:v>
                </c:pt>
                <c:pt idx="4">
                  <c:v>32582895.44392655</c:v>
                </c:pt>
                <c:pt idx="5">
                  <c:v>39099474.532711864</c:v>
                </c:pt>
                <c:pt idx="6">
                  <c:v>45616053.621497169</c:v>
                </c:pt>
                <c:pt idx="7">
                  <c:v>52132632.710282482</c:v>
                </c:pt>
              </c:numCache>
            </c:numRef>
          </c:yVal>
          <c:smooth val="0"/>
          <c:extLst>
            <c:ext xmlns:c16="http://schemas.microsoft.com/office/drawing/2014/chart" uri="{C3380CC4-5D6E-409C-BE32-E72D297353CC}">
              <c16:uniqueId val="{00000003-B657-4E74-AFBC-10C1DEC75D62}"/>
            </c:ext>
          </c:extLst>
        </c:ser>
        <c:dLbls>
          <c:showLegendKey val="0"/>
          <c:showVal val="0"/>
          <c:showCatName val="0"/>
          <c:showSerName val="0"/>
          <c:showPercent val="0"/>
          <c:showBubbleSize val="0"/>
        </c:dLbls>
        <c:axId val="441433503"/>
        <c:axId val="1"/>
      </c:scatterChart>
      <c:valAx>
        <c:axId val="44143350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441433503"/>
        <c:crosses val="autoZero"/>
        <c:crossBetween val="midCat"/>
      </c:valAx>
      <c:spPr>
        <a:solidFill>
          <a:srgbClr val="C0C0C0"/>
        </a:solidFill>
        <a:ln w="12700">
          <a:solidFill>
            <a:srgbClr val="808080"/>
          </a:solidFill>
          <a:prstDash val="solid"/>
        </a:ln>
      </c:spPr>
    </c:plotArea>
    <c:legend>
      <c:legendPos val="r"/>
      <c:layout>
        <c:manualLayout>
          <c:xMode val="edge"/>
          <c:yMode val="edge"/>
          <c:x val="0.15643909217230198"/>
          <c:y val="0.14732605792696965"/>
          <c:w val="0.2321353801363065"/>
          <c:h val="0.26935350186489848"/>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286C-4EA4-AADB-FD8658E657AD}"/>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286C-4EA4-AADB-FD8658E657AD}"/>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286C-4EA4-AADB-FD8658E657AD}"/>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286C-4EA4-AADB-FD8658E657AD}"/>
            </c:ext>
          </c:extLst>
        </c:ser>
        <c:dLbls>
          <c:showLegendKey val="0"/>
          <c:showVal val="0"/>
          <c:showCatName val="0"/>
          <c:showSerName val="0"/>
          <c:showPercent val="0"/>
          <c:showBubbleSize val="0"/>
        </c:dLbls>
        <c:axId val="441433983"/>
        <c:axId val="1"/>
      </c:scatterChart>
      <c:valAx>
        <c:axId val="44143398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43398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1742-45AC-8B83-60F3E494ECDB}"/>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1742-45AC-8B83-60F3E494ECDB}"/>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1742-45AC-8B83-60F3E494ECDB}"/>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1742-45AC-8B83-60F3E494ECDB}"/>
            </c:ext>
          </c:extLst>
        </c:ser>
        <c:dLbls>
          <c:showLegendKey val="0"/>
          <c:showVal val="0"/>
          <c:showCatName val="0"/>
          <c:showSerName val="0"/>
          <c:showPercent val="0"/>
          <c:showBubbleSize val="0"/>
        </c:dLbls>
        <c:axId val="441455103"/>
        <c:axId val="1"/>
      </c:scatterChart>
      <c:valAx>
        <c:axId val="44145510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45510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60BF-48BA-A7FB-F8DC1A880249}"/>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60BF-48BA-A7FB-F8DC1A880249}"/>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60BF-48BA-A7FB-F8DC1A880249}"/>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60BF-48BA-A7FB-F8DC1A880249}"/>
            </c:ext>
          </c:extLst>
        </c:ser>
        <c:dLbls>
          <c:showLegendKey val="0"/>
          <c:showVal val="0"/>
          <c:showCatName val="0"/>
          <c:showSerName val="0"/>
          <c:showPercent val="0"/>
          <c:showBubbleSize val="0"/>
        </c:dLbls>
        <c:axId val="441440223"/>
        <c:axId val="1"/>
      </c:scatterChart>
      <c:valAx>
        <c:axId val="44144022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44022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17C8-4160-8A20-58FB4B37E421}"/>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17C8-4160-8A20-58FB4B37E421}"/>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17C8-4160-8A20-58FB4B37E421}"/>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17C8-4160-8A20-58FB4B37E421}"/>
            </c:ext>
          </c:extLst>
        </c:ser>
        <c:dLbls>
          <c:showLegendKey val="0"/>
          <c:showVal val="0"/>
          <c:showCatName val="0"/>
          <c:showSerName val="0"/>
          <c:showPercent val="0"/>
          <c:showBubbleSize val="0"/>
        </c:dLbls>
        <c:axId val="441437823"/>
        <c:axId val="1"/>
      </c:scatterChart>
      <c:valAx>
        <c:axId val="44143782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43782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B_Prodotti'!#REF!</c:v>
          </c:tx>
          <c:spPr>
            <a:ln w="25400">
              <a:solidFill>
                <a:srgbClr val="00008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0-976D-47F1-B4C7-F9E27EF72D06}"/>
            </c:ext>
          </c:extLst>
        </c:ser>
        <c:ser>
          <c:idx val="1"/>
          <c:order val="1"/>
          <c:tx>
            <c:v>'BreakEven Point AZ. B_Prodotti'!#REF!</c:v>
          </c:tx>
          <c:spPr>
            <a:ln w="25400">
              <a:solidFill>
                <a:srgbClr val="FF00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1-976D-47F1-B4C7-F9E27EF72D06}"/>
            </c:ext>
          </c:extLst>
        </c:ser>
        <c:ser>
          <c:idx val="2"/>
          <c:order val="2"/>
          <c:tx>
            <c:v>'BreakEven Point AZ. B_Prodotti'!#REF!</c:v>
          </c:tx>
          <c:spPr>
            <a:ln w="25400">
              <a:solidFill>
                <a:srgbClr val="FFFF00"/>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2-976D-47F1-B4C7-F9E27EF72D06}"/>
            </c:ext>
          </c:extLst>
        </c:ser>
        <c:ser>
          <c:idx val="3"/>
          <c:order val="3"/>
          <c:tx>
            <c:v>'BreakEven Point AZ. B_Prodotti'!#REF!</c:v>
          </c:tx>
          <c:spPr>
            <a:ln w="25400">
              <a:solidFill>
                <a:srgbClr val="00FFFF"/>
              </a:solidFill>
              <a:prstDash val="solid"/>
            </a:ln>
          </c:spPr>
          <c:marker>
            <c:symbol val="none"/>
          </c:marker>
          <c:xVal>
            <c:numRef>
              <c:f>'BreakEven Point AZ. B_Prodotti'!#REF!</c:f>
              <c:numCache>
                <c:formatCode>General</c:formatCode>
                <c:ptCount val="1"/>
                <c:pt idx="0">
                  <c:v>1</c:v>
                </c:pt>
              </c:numCache>
            </c:numRef>
          </c:xVal>
          <c:yVal>
            <c:numRef>
              <c:f>'BreakEven Point AZ. B_Prodotti'!#REF!</c:f>
              <c:numCache>
                <c:formatCode>General</c:formatCode>
                <c:ptCount val="1"/>
                <c:pt idx="0">
                  <c:v>1</c:v>
                </c:pt>
              </c:numCache>
            </c:numRef>
          </c:yVal>
          <c:smooth val="0"/>
          <c:extLst>
            <c:ext xmlns:c16="http://schemas.microsoft.com/office/drawing/2014/chart" uri="{C3380CC4-5D6E-409C-BE32-E72D297353CC}">
              <c16:uniqueId val="{00000003-976D-47F1-B4C7-F9E27EF72D06}"/>
            </c:ext>
          </c:extLst>
        </c:ser>
        <c:dLbls>
          <c:showLegendKey val="0"/>
          <c:showVal val="0"/>
          <c:showCatName val="0"/>
          <c:showSerName val="0"/>
          <c:showPercent val="0"/>
          <c:showBubbleSize val="0"/>
        </c:dLbls>
        <c:axId val="441445503"/>
        <c:axId val="1"/>
      </c:scatterChart>
      <c:valAx>
        <c:axId val="44144550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44144550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A'!#REF!</c:v>
          </c:tx>
          <c:spPr>
            <a:ln w="25400">
              <a:solidFill>
                <a:srgbClr val="00008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0-7A88-45C4-8808-326767A2F2AD}"/>
            </c:ext>
          </c:extLst>
        </c:ser>
        <c:ser>
          <c:idx val="1"/>
          <c:order val="1"/>
          <c:tx>
            <c:v>'BreakEven Point AZ. A'!#REF!</c:v>
          </c:tx>
          <c:spPr>
            <a:ln w="25400">
              <a:solidFill>
                <a:srgbClr val="FF00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1-7A88-45C4-8808-326767A2F2AD}"/>
            </c:ext>
          </c:extLst>
        </c:ser>
        <c:ser>
          <c:idx val="2"/>
          <c:order val="2"/>
          <c:tx>
            <c:v>'BreakEven Point AZ. A'!#REF!</c:v>
          </c:tx>
          <c:spPr>
            <a:ln w="25400">
              <a:solidFill>
                <a:srgbClr val="FFFF0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2-7A88-45C4-8808-326767A2F2AD}"/>
            </c:ext>
          </c:extLst>
        </c:ser>
        <c:ser>
          <c:idx val="3"/>
          <c:order val="3"/>
          <c:tx>
            <c:v>'BreakEven Point AZ. A'!#REF!</c:v>
          </c:tx>
          <c:spPr>
            <a:ln w="25400">
              <a:solidFill>
                <a:srgbClr val="00FF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3-7A88-45C4-8808-326767A2F2AD}"/>
            </c:ext>
          </c:extLst>
        </c:ser>
        <c:dLbls>
          <c:showLegendKey val="0"/>
          <c:showVal val="0"/>
          <c:showCatName val="0"/>
          <c:showSerName val="0"/>
          <c:showPercent val="0"/>
          <c:showBubbleSize val="0"/>
        </c:dLbls>
        <c:axId val="532298863"/>
        <c:axId val="1"/>
      </c:scatterChart>
      <c:valAx>
        <c:axId val="53229886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29886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A'!#REF!</c:v>
          </c:tx>
          <c:spPr>
            <a:ln w="25400">
              <a:solidFill>
                <a:srgbClr val="00008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0-766D-4A6D-A6A9-9310B6B6B3C7}"/>
            </c:ext>
          </c:extLst>
        </c:ser>
        <c:ser>
          <c:idx val="1"/>
          <c:order val="1"/>
          <c:tx>
            <c:v>'BreakEven Point AZ. A'!#REF!</c:v>
          </c:tx>
          <c:spPr>
            <a:ln w="25400">
              <a:solidFill>
                <a:srgbClr val="FF00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1-766D-4A6D-A6A9-9310B6B6B3C7}"/>
            </c:ext>
          </c:extLst>
        </c:ser>
        <c:ser>
          <c:idx val="2"/>
          <c:order val="2"/>
          <c:tx>
            <c:v>'BreakEven Point AZ. A'!#REF!</c:v>
          </c:tx>
          <c:spPr>
            <a:ln w="25400">
              <a:solidFill>
                <a:srgbClr val="FFFF0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2-766D-4A6D-A6A9-9310B6B6B3C7}"/>
            </c:ext>
          </c:extLst>
        </c:ser>
        <c:ser>
          <c:idx val="3"/>
          <c:order val="3"/>
          <c:tx>
            <c:v>'BreakEven Point AZ. A'!#REF!</c:v>
          </c:tx>
          <c:spPr>
            <a:ln w="25400">
              <a:solidFill>
                <a:srgbClr val="00FF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3-766D-4A6D-A6A9-9310B6B6B3C7}"/>
            </c:ext>
          </c:extLst>
        </c:ser>
        <c:dLbls>
          <c:showLegendKey val="0"/>
          <c:showVal val="0"/>
          <c:showCatName val="0"/>
          <c:showSerName val="0"/>
          <c:showPercent val="0"/>
          <c:showBubbleSize val="0"/>
        </c:dLbls>
        <c:axId val="532284463"/>
        <c:axId val="1"/>
      </c:scatterChart>
      <c:valAx>
        <c:axId val="53228446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28446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A'!#REF!</c:v>
          </c:tx>
          <c:spPr>
            <a:ln w="25400">
              <a:solidFill>
                <a:srgbClr val="00008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0-9A89-4369-A9E5-E042305A3C98}"/>
            </c:ext>
          </c:extLst>
        </c:ser>
        <c:ser>
          <c:idx val="1"/>
          <c:order val="1"/>
          <c:tx>
            <c:v>'BreakEven Point AZ. A'!#REF!</c:v>
          </c:tx>
          <c:spPr>
            <a:ln w="25400">
              <a:solidFill>
                <a:srgbClr val="FF00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1-9A89-4369-A9E5-E042305A3C98}"/>
            </c:ext>
          </c:extLst>
        </c:ser>
        <c:ser>
          <c:idx val="2"/>
          <c:order val="2"/>
          <c:tx>
            <c:v>'BreakEven Point AZ. A'!#REF!</c:v>
          </c:tx>
          <c:spPr>
            <a:ln w="25400">
              <a:solidFill>
                <a:srgbClr val="FFFF00"/>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2-9A89-4369-A9E5-E042305A3C98}"/>
            </c:ext>
          </c:extLst>
        </c:ser>
        <c:ser>
          <c:idx val="3"/>
          <c:order val="3"/>
          <c:tx>
            <c:v>'BreakEven Point AZ. A'!#REF!</c:v>
          </c:tx>
          <c:spPr>
            <a:ln w="25400">
              <a:solidFill>
                <a:srgbClr val="00FFFF"/>
              </a:solidFill>
              <a:prstDash val="solid"/>
            </a:ln>
          </c:spPr>
          <c:marker>
            <c:symbol val="none"/>
          </c:marker>
          <c:xVal>
            <c:numRef>
              <c:f>'BreakEven Point AZ. A'!#REF!</c:f>
              <c:numCache>
                <c:formatCode>General</c:formatCode>
                <c:ptCount val="1"/>
                <c:pt idx="0">
                  <c:v>1</c:v>
                </c:pt>
              </c:numCache>
            </c:numRef>
          </c:xVal>
          <c:yVal>
            <c:numRef>
              <c:f>'BreakEven Point AZ. A'!#REF!</c:f>
              <c:numCache>
                <c:formatCode>General</c:formatCode>
                <c:ptCount val="1"/>
                <c:pt idx="0">
                  <c:v>1</c:v>
                </c:pt>
              </c:numCache>
            </c:numRef>
          </c:yVal>
          <c:smooth val="0"/>
          <c:extLst>
            <c:ext xmlns:c16="http://schemas.microsoft.com/office/drawing/2014/chart" uri="{C3380CC4-5D6E-409C-BE32-E72D297353CC}">
              <c16:uniqueId val="{00000003-9A89-4369-A9E5-E042305A3C98}"/>
            </c:ext>
          </c:extLst>
        </c:ser>
        <c:dLbls>
          <c:showLegendKey val="0"/>
          <c:showVal val="0"/>
          <c:showCatName val="0"/>
          <c:showSerName val="0"/>
          <c:showPercent val="0"/>
          <c:showBubbleSize val="0"/>
        </c:dLbls>
        <c:axId val="532299823"/>
        <c:axId val="1"/>
      </c:scatterChart>
      <c:valAx>
        <c:axId val="532299823"/>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32299823"/>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160319217509"/>
          <c:y val="5.0739957716701901E-2"/>
          <c:w val="0.82010687947833927"/>
          <c:h val="0.86680761099365755"/>
        </c:manualLayout>
      </c:layout>
      <c:scatterChart>
        <c:scatterStyle val="lineMarker"/>
        <c:varyColors val="0"/>
        <c:ser>
          <c:idx val="0"/>
          <c:order val="0"/>
          <c:tx>
            <c:strRef>
              <c:f>'BreakEven Point AZ. A_Prodotti'!$K$3</c:f>
              <c:strCache>
                <c:ptCount val="1"/>
                <c:pt idx="0">
                  <c:v>COSTI FISSI</c:v>
                </c:pt>
              </c:strCache>
            </c:strRef>
          </c:tx>
          <c:spPr>
            <a:ln w="25400">
              <a:solidFill>
                <a:srgbClr val="000080"/>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A_Prodotti'!$L$3:$S$3</c:f>
              <c:numCache>
                <c:formatCode>"€"#,##0.00_);[Red]\("€"#,##0.00\)</c:formatCode>
                <c:ptCount val="8"/>
                <c:pt idx="0">
                  <c:v>3250402.3510260149</c:v>
                </c:pt>
                <c:pt idx="1">
                  <c:v>3250402.3510260149</c:v>
                </c:pt>
                <c:pt idx="2">
                  <c:v>3250402.3510260149</c:v>
                </c:pt>
                <c:pt idx="3">
                  <c:v>3250402.3510260149</c:v>
                </c:pt>
                <c:pt idx="4">
                  <c:v>3250402.3510260149</c:v>
                </c:pt>
                <c:pt idx="5">
                  <c:v>3250402.3510260149</c:v>
                </c:pt>
                <c:pt idx="6">
                  <c:v>3250402.3510260149</c:v>
                </c:pt>
                <c:pt idx="7">
                  <c:v>3250402.3510260149</c:v>
                </c:pt>
              </c:numCache>
            </c:numRef>
          </c:yVal>
          <c:smooth val="0"/>
          <c:extLst>
            <c:ext xmlns:c16="http://schemas.microsoft.com/office/drawing/2014/chart" uri="{C3380CC4-5D6E-409C-BE32-E72D297353CC}">
              <c16:uniqueId val="{00000000-ED67-470B-978F-4D53C333CDD6}"/>
            </c:ext>
          </c:extLst>
        </c:ser>
        <c:ser>
          <c:idx val="1"/>
          <c:order val="1"/>
          <c:tx>
            <c:strRef>
              <c:f>'BreakEven Point AZ. A_Prodotti'!$K$4</c:f>
              <c:strCache>
                <c:ptCount val="1"/>
                <c:pt idx="0">
                  <c:v>COSTI VARIABILI</c:v>
                </c:pt>
              </c:strCache>
            </c:strRef>
          </c:tx>
          <c:spPr>
            <a:ln w="25400">
              <a:solidFill>
                <a:srgbClr val="FF00FF"/>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A_Prodotti'!$L$4:$S$4</c:f>
              <c:numCache>
                <c:formatCode>"€"#,##0.00_);[Red]\("€"#,##0.00\)</c:formatCode>
                <c:ptCount val="8"/>
                <c:pt idx="0">
                  <c:v>0</c:v>
                </c:pt>
                <c:pt idx="1">
                  <c:v>10627792.531488713</c:v>
                </c:pt>
                <c:pt idx="2">
                  <c:v>15941688.797233069</c:v>
                </c:pt>
                <c:pt idx="3">
                  <c:v>21255585.062977426</c:v>
                </c:pt>
                <c:pt idx="4">
                  <c:v>26569481.328721784</c:v>
                </c:pt>
                <c:pt idx="5">
                  <c:v>31883377.594466139</c:v>
                </c:pt>
                <c:pt idx="6">
                  <c:v>37197273.860210493</c:v>
                </c:pt>
                <c:pt idx="7">
                  <c:v>42511170.125954852</c:v>
                </c:pt>
              </c:numCache>
            </c:numRef>
          </c:yVal>
          <c:smooth val="0"/>
          <c:extLst>
            <c:ext xmlns:c16="http://schemas.microsoft.com/office/drawing/2014/chart" uri="{C3380CC4-5D6E-409C-BE32-E72D297353CC}">
              <c16:uniqueId val="{00000001-ED67-470B-978F-4D53C333CDD6}"/>
            </c:ext>
          </c:extLst>
        </c:ser>
        <c:ser>
          <c:idx val="2"/>
          <c:order val="2"/>
          <c:tx>
            <c:strRef>
              <c:f>'BreakEven Point AZ. A_Prodotti'!$K$5</c:f>
              <c:strCache>
                <c:ptCount val="1"/>
                <c:pt idx="0">
                  <c:v>COSTI TOTALI</c:v>
                </c:pt>
              </c:strCache>
            </c:strRef>
          </c:tx>
          <c:spPr>
            <a:ln w="25400">
              <a:solidFill>
                <a:srgbClr val="FFFF00"/>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A_Prodotti'!$L$5:$S$5</c:f>
              <c:numCache>
                <c:formatCode>"€"#,##0.00_);[Red]\("€"#,##0.00\)</c:formatCode>
                <c:ptCount val="8"/>
                <c:pt idx="0">
                  <c:v>3250402.3510260149</c:v>
                </c:pt>
                <c:pt idx="1">
                  <c:v>13878194.882514728</c:v>
                </c:pt>
                <c:pt idx="2">
                  <c:v>19192091.148259085</c:v>
                </c:pt>
                <c:pt idx="3">
                  <c:v>24505987.414003439</c:v>
                </c:pt>
                <c:pt idx="4">
                  <c:v>29819883.679747798</c:v>
                </c:pt>
                <c:pt idx="5">
                  <c:v>35133779.945492156</c:v>
                </c:pt>
                <c:pt idx="6">
                  <c:v>40447676.211236507</c:v>
                </c:pt>
                <c:pt idx="7">
                  <c:v>45761572.476980865</c:v>
                </c:pt>
              </c:numCache>
            </c:numRef>
          </c:yVal>
          <c:smooth val="0"/>
          <c:extLst>
            <c:ext xmlns:c16="http://schemas.microsoft.com/office/drawing/2014/chart" uri="{C3380CC4-5D6E-409C-BE32-E72D297353CC}">
              <c16:uniqueId val="{00000002-ED67-470B-978F-4D53C333CDD6}"/>
            </c:ext>
          </c:extLst>
        </c:ser>
        <c:ser>
          <c:idx val="3"/>
          <c:order val="3"/>
          <c:tx>
            <c:strRef>
              <c:f>'BreakEven Point AZ. A_Prodotti'!$K$6</c:f>
              <c:strCache>
                <c:ptCount val="1"/>
                <c:pt idx="0">
                  <c:v>RICAVI</c:v>
                </c:pt>
              </c:strCache>
            </c:strRef>
          </c:tx>
          <c:spPr>
            <a:ln w="25400">
              <a:solidFill>
                <a:srgbClr val="00FFFF"/>
              </a:solidFill>
              <a:prstDash val="solid"/>
            </a:ln>
          </c:spPr>
          <c:marker>
            <c:symbol val="none"/>
          </c:marker>
          <c:xVal>
            <c:numRef>
              <c:f>'BreakEven Point AZ. A_Prodotti'!$L$2:$S$2</c:f>
              <c:numCache>
                <c:formatCode>#,##0</c:formatCode>
                <c:ptCount val="8"/>
                <c:pt idx="0">
                  <c:v>0</c:v>
                </c:pt>
                <c:pt idx="1">
                  <c:v>20000000</c:v>
                </c:pt>
                <c:pt idx="2">
                  <c:v>30000000</c:v>
                </c:pt>
                <c:pt idx="3">
                  <c:v>40000000</c:v>
                </c:pt>
                <c:pt idx="4">
                  <c:v>50000000</c:v>
                </c:pt>
                <c:pt idx="5">
                  <c:v>60000000</c:v>
                </c:pt>
                <c:pt idx="6">
                  <c:v>70000000</c:v>
                </c:pt>
                <c:pt idx="7">
                  <c:v>80000000</c:v>
                </c:pt>
              </c:numCache>
            </c:numRef>
          </c:xVal>
          <c:yVal>
            <c:numRef>
              <c:f>'BreakEven Point AZ. A_Prodotti'!$L$6:$S$6</c:f>
              <c:numCache>
                <c:formatCode>"€"#,##0.00_);[Red]\("€"#,##0.00\)</c:formatCode>
                <c:ptCount val="8"/>
                <c:pt idx="0">
                  <c:v>0</c:v>
                </c:pt>
                <c:pt idx="1">
                  <c:v>12426843.208735084</c:v>
                </c:pt>
                <c:pt idx="2">
                  <c:v>18640264.813102625</c:v>
                </c:pt>
                <c:pt idx="3">
                  <c:v>24853686.417470168</c:v>
                </c:pt>
                <c:pt idx="4">
                  <c:v>31067108.021837708</c:v>
                </c:pt>
                <c:pt idx="5">
                  <c:v>37280529.626205251</c:v>
                </c:pt>
                <c:pt idx="6">
                  <c:v>43493951.23057279</c:v>
                </c:pt>
                <c:pt idx="7">
                  <c:v>49707372.834940337</c:v>
                </c:pt>
              </c:numCache>
            </c:numRef>
          </c:yVal>
          <c:smooth val="0"/>
          <c:extLst>
            <c:ext xmlns:c16="http://schemas.microsoft.com/office/drawing/2014/chart" uri="{C3380CC4-5D6E-409C-BE32-E72D297353CC}">
              <c16:uniqueId val="{00000003-ED67-470B-978F-4D53C333CDD6}"/>
            </c:ext>
          </c:extLst>
        </c:ser>
        <c:dLbls>
          <c:showLegendKey val="0"/>
          <c:showVal val="0"/>
          <c:showCatName val="0"/>
          <c:showSerName val="0"/>
          <c:showPercent val="0"/>
          <c:showBubbleSize val="0"/>
        </c:dLbls>
        <c:axId val="559109567"/>
        <c:axId val="1"/>
      </c:scatterChart>
      <c:valAx>
        <c:axId val="55910956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559109567"/>
        <c:crosses val="autoZero"/>
        <c:crossBetween val="midCat"/>
      </c:valAx>
      <c:spPr>
        <a:solidFill>
          <a:srgbClr val="C0C0C0"/>
        </a:solidFill>
        <a:ln w="12700">
          <a:solidFill>
            <a:srgbClr val="808080"/>
          </a:solidFill>
          <a:prstDash val="solid"/>
        </a:ln>
      </c:spPr>
    </c:plotArea>
    <c:legend>
      <c:legendPos val="r"/>
      <c:layout>
        <c:manualLayout>
          <c:xMode val="edge"/>
          <c:yMode val="edge"/>
          <c:x val="0.16972659356414019"/>
          <c:y val="0.14324665514371679"/>
          <c:w val="0.23213538013630647"/>
          <c:h val="0.26935350186489848"/>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1C8F-4246-AE2D-A0D17741A6A0}"/>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1C8F-4246-AE2D-A0D17741A6A0}"/>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1C8F-4246-AE2D-A0D17741A6A0}"/>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1C8F-4246-AE2D-A0D17741A6A0}"/>
            </c:ext>
          </c:extLst>
        </c:ser>
        <c:dLbls>
          <c:showLegendKey val="0"/>
          <c:showVal val="0"/>
          <c:showCatName val="0"/>
          <c:showSerName val="0"/>
          <c:showPercent val="0"/>
          <c:showBubbleSize val="0"/>
        </c:dLbls>
        <c:axId val="559085087"/>
        <c:axId val="1"/>
      </c:scatterChart>
      <c:valAx>
        <c:axId val="55908508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5908508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'BreakEven Point AZ. A_Prodotti'!#REF!</c:v>
          </c:tx>
          <c:spPr>
            <a:ln w="25400">
              <a:solidFill>
                <a:srgbClr val="00008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0-43ED-4C1D-953C-620F3D0FD276}"/>
            </c:ext>
          </c:extLst>
        </c:ser>
        <c:ser>
          <c:idx val="1"/>
          <c:order val="1"/>
          <c:tx>
            <c:v>'BreakEven Point AZ. A_Prodotti'!#REF!</c:v>
          </c:tx>
          <c:spPr>
            <a:ln w="25400">
              <a:solidFill>
                <a:srgbClr val="FF00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1-43ED-4C1D-953C-620F3D0FD276}"/>
            </c:ext>
          </c:extLst>
        </c:ser>
        <c:ser>
          <c:idx val="2"/>
          <c:order val="2"/>
          <c:tx>
            <c:v>'BreakEven Point AZ. A_Prodotti'!#REF!</c:v>
          </c:tx>
          <c:spPr>
            <a:ln w="25400">
              <a:solidFill>
                <a:srgbClr val="FFFF00"/>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2-43ED-4C1D-953C-620F3D0FD276}"/>
            </c:ext>
          </c:extLst>
        </c:ser>
        <c:ser>
          <c:idx val="3"/>
          <c:order val="3"/>
          <c:tx>
            <c:v>'BreakEven Point AZ. A_Prodotti'!#REF!</c:v>
          </c:tx>
          <c:spPr>
            <a:ln w="25400">
              <a:solidFill>
                <a:srgbClr val="00FFFF"/>
              </a:solidFill>
              <a:prstDash val="solid"/>
            </a:ln>
          </c:spPr>
          <c:marker>
            <c:symbol val="none"/>
          </c:marker>
          <c:xVal>
            <c:numRef>
              <c:f>'BreakEven Point AZ. A_Prodotti'!#REF!</c:f>
              <c:numCache>
                <c:formatCode>General</c:formatCode>
                <c:ptCount val="1"/>
                <c:pt idx="0">
                  <c:v>1</c:v>
                </c:pt>
              </c:numCache>
            </c:numRef>
          </c:xVal>
          <c:yVal>
            <c:numRef>
              <c:f>'BreakEven Point AZ. A_Prodotti'!#REF!</c:f>
              <c:numCache>
                <c:formatCode>General</c:formatCode>
                <c:ptCount val="1"/>
                <c:pt idx="0">
                  <c:v>1</c:v>
                </c:pt>
              </c:numCache>
            </c:numRef>
          </c:yVal>
          <c:smooth val="0"/>
          <c:extLst>
            <c:ext xmlns:c16="http://schemas.microsoft.com/office/drawing/2014/chart" uri="{C3380CC4-5D6E-409C-BE32-E72D297353CC}">
              <c16:uniqueId val="{00000003-43ED-4C1D-953C-620F3D0FD276}"/>
            </c:ext>
          </c:extLst>
        </c:ser>
        <c:dLbls>
          <c:showLegendKey val="0"/>
          <c:showVal val="0"/>
          <c:showCatName val="0"/>
          <c:showSerName val="0"/>
          <c:showPercent val="0"/>
          <c:showBubbleSize val="0"/>
        </c:dLbls>
        <c:axId val="559087967"/>
        <c:axId val="1"/>
      </c:scatterChart>
      <c:valAx>
        <c:axId val="559087967"/>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1"/>
        <c:crosses val="autoZero"/>
        <c:crossBetween val="midCat"/>
      </c:valAx>
      <c:valAx>
        <c:axId val="1"/>
        <c:scaling>
          <c:orientation val="minMax"/>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it-IT"/>
          </a:p>
        </c:txPr>
        <c:crossAx val="559087967"/>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5" b="1"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1</xdr:col>
      <xdr:colOff>12700</xdr:colOff>
      <xdr:row>16</xdr:row>
      <xdr:rowOff>22224</xdr:rowOff>
    </xdr:from>
    <xdr:to>
      <xdr:col>9</xdr:col>
      <xdr:colOff>269875</xdr:colOff>
      <xdr:row>27</xdr:row>
      <xdr:rowOff>9524</xdr:rowOff>
    </xdr:to>
    <xdr:sp macro="" textlink="">
      <xdr:nvSpPr>
        <xdr:cNvPr id="3" name="Rectangle 2">
          <a:extLst>
            <a:ext uri="{FF2B5EF4-FFF2-40B4-BE49-F238E27FC236}">
              <a16:creationId xmlns:a16="http://schemas.microsoft.com/office/drawing/2014/main" id="{F9EF21A5-BDBB-BB42-2CDF-FB5E461B5C3F}"/>
            </a:ext>
          </a:extLst>
        </xdr:cNvPr>
        <xdr:cNvSpPr>
          <a:spLocks noChangeArrowheads="1"/>
        </xdr:cNvSpPr>
      </xdr:nvSpPr>
      <xdr:spPr bwMode="auto">
        <a:xfrm>
          <a:off x="577850" y="2241549"/>
          <a:ext cx="6362700" cy="1616075"/>
        </a:xfrm>
        <a:prstGeom prst="rect">
          <a:avLst/>
        </a:prstGeom>
        <a:solidFill>
          <a:sysClr val="window" lastClr="FFFFFF"/>
        </a:solidFill>
        <a:ln w="50800" algn="ctr">
          <a:solidFill>
            <a:schemeClr val="accent2"/>
          </a:solidFill>
          <a:miter lim="800000"/>
          <a:headEnd/>
          <a:tailEnd/>
        </a:ln>
        <a:effectLst/>
      </xdr:spPr>
      <xdr:txBody>
        <a:bodyPr wrap="square" anchor="ct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lgn="ctr">
            <a:defRPr/>
          </a:pPr>
          <a:r>
            <a:rPr lang="it-IT" sz="1800" b="1" i="0" baseline="0">
              <a:solidFill>
                <a:sysClr val="windowText" lastClr="000000"/>
              </a:solidFill>
              <a:effectLst>
                <a:outerShdw blurRad="38100" dist="38100" dir="2700000" algn="tl">
                  <a:srgbClr val="000000"/>
                </a:outerShdw>
              </a:effectLst>
              <a:latin typeface="Arial" charset="0"/>
            </a:rPr>
            <a:t>Finanza Aziendale</a:t>
          </a:r>
        </a:p>
        <a:p>
          <a:pPr algn="ctr">
            <a:defRPr/>
          </a:pPr>
          <a:endParaRPr lang="it-IT" sz="1800" b="1" i="0" baseline="0">
            <a:solidFill>
              <a:sysClr val="windowText" lastClr="000000"/>
            </a:solidFill>
            <a:effectLst>
              <a:outerShdw blurRad="38100" dist="38100" dir="2700000" algn="tl">
                <a:srgbClr val="000000"/>
              </a:outerShdw>
            </a:effectLst>
            <a:latin typeface="Arial" charset="0"/>
          </a:endParaRPr>
        </a:p>
        <a:p>
          <a:pPr algn="ctr">
            <a:defRPr/>
          </a:pPr>
          <a:r>
            <a:rPr lang="it-IT" sz="1800" b="0" i="0" baseline="0">
              <a:solidFill>
                <a:srgbClr val="C00000"/>
              </a:solidFill>
              <a:effectLst>
                <a:outerShdw blurRad="38100" dist="38100" dir="2700000" algn="tl">
                  <a:srgbClr val="000000"/>
                </a:outerShdw>
              </a:effectLst>
              <a:latin typeface="Arial" charset="0"/>
            </a:rPr>
            <a:t>Cost accounting in SMEs: simulation with case study</a:t>
          </a:r>
        </a:p>
        <a:p>
          <a:pPr algn="ctr">
            <a:defRPr/>
          </a:pPr>
          <a:r>
            <a:rPr lang="it-IT" sz="1800" b="0" i="0" u="sng" baseline="0">
              <a:solidFill>
                <a:sysClr val="windowText" lastClr="000000"/>
              </a:solidFill>
              <a:effectLst>
                <a:outerShdw blurRad="38100" dist="38100" dir="2700000" algn="tl">
                  <a:srgbClr val="000000"/>
                </a:outerShdw>
              </a:effectLst>
              <a:latin typeface="Arial" charset="0"/>
            </a:rPr>
            <a:t>Analysis of production costs</a:t>
          </a:r>
        </a:p>
        <a:p>
          <a:pPr algn="ctr">
            <a:defRPr/>
          </a:pPr>
          <a:r>
            <a:rPr lang="it-IT" sz="1500" b="0" i="0" baseline="0">
              <a:solidFill>
                <a:sysClr val="windowText" lastClr="000000"/>
              </a:solidFill>
              <a:effectLst>
                <a:outerShdw blurRad="38100" dist="38100" dir="2700000" algn="tl">
                  <a:srgbClr val="000000"/>
                </a:outerShdw>
              </a:effectLst>
              <a:latin typeface="Arial" charset="0"/>
            </a:rPr>
            <a:t>Accounting exercise or strategic variable?</a:t>
          </a:r>
        </a:p>
      </xdr:txBody>
    </xdr:sp>
    <xdr:clientData/>
  </xdr:twoCellAnchor>
  <xdr:twoCellAnchor>
    <xdr:from>
      <xdr:col>1</xdr:col>
      <xdr:colOff>19050</xdr:colOff>
      <xdr:row>2</xdr:row>
      <xdr:rowOff>95250</xdr:rowOff>
    </xdr:from>
    <xdr:to>
      <xdr:col>10</xdr:col>
      <xdr:colOff>19050</xdr:colOff>
      <xdr:row>14</xdr:row>
      <xdr:rowOff>63523</xdr:rowOff>
    </xdr:to>
    <xdr:sp macro="" textlink="">
      <xdr:nvSpPr>
        <xdr:cNvPr id="4" name="Rectangle 5">
          <a:extLst>
            <a:ext uri="{FF2B5EF4-FFF2-40B4-BE49-F238E27FC236}">
              <a16:creationId xmlns:a16="http://schemas.microsoft.com/office/drawing/2014/main" id="{ED645AE9-6557-4E4D-97CD-D703AF4CE0E3}"/>
            </a:ext>
          </a:extLst>
        </xdr:cNvPr>
        <xdr:cNvSpPr>
          <a:spLocks noChangeArrowheads="1"/>
        </xdr:cNvSpPr>
      </xdr:nvSpPr>
      <xdr:spPr bwMode="auto">
        <a:xfrm>
          <a:off x="590550" y="400050"/>
          <a:ext cx="6400800" cy="1730398"/>
        </a:xfrm>
        <a:prstGeom prst="rect">
          <a:avLst/>
        </a:prstGeom>
        <a:noFill/>
        <a:ln w="9525">
          <a:noFill/>
          <a:miter lim="800000"/>
          <a:headEnd/>
          <a:tailEnd/>
        </a:ln>
        <a:effectLst/>
      </xdr:spPr>
      <xdr:txBody>
        <a:bodyPr wrap="square" anchor="b">
          <a:noAutofit/>
        </a:bodyP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outerShdw blurRad="38100" dist="38100" dir="2700000" algn="tl">
                  <a:srgbClr val="C0C0C0"/>
                </a:outerShdw>
              </a:effectLst>
              <a:uLnTx/>
              <a:uFillTx/>
              <a:latin typeface="Arial" charset="0"/>
              <a:ea typeface="+mn-ea"/>
              <a:cs typeface="+mn-cs"/>
            </a:rPr>
            <a:t>Università degli Studi "G. d'Annunzio" Chieti – Pescara</a:t>
          </a:r>
        </a:p>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Dipartimento di Economia (DEC)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CdS Triennale (L-33) in ECONOMIA E COMMERCIO (CLEC)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Percorso: Economia e Finanza </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uLnTx/>
              <a:uFillTx/>
              <a:latin typeface="Arial" charset="0"/>
              <a:ea typeface="+mn-ea"/>
              <a:cs typeface="+mn-cs"/>
            </a:rPr>
            <a:t>Insegnamento di: Finanza Aziendale – 9 CFU</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0" i="1" u="none" strike="noStrike" kern="1200" cap="none" spc="0" normalizeH="0" baseline="0" noProof="0" dirty="0">
              <a:ln>
                <a:noFill/>
              </a:ln>
              <a:solidFill>
                <a:srgbClr val="000000"/>
              </a:solidFill>
              <a:effectLst/>
              <a:uLnTx/>
              <a:uFillTx/>
              <a:latin typeface="Arial" charset="0"/>
              <a:ea typeface="+mn-ea"/>
              <a:cs typeface="+mn-cs"/>
            </a:rPr>
            <a:t>A.A. 2025/2026</a:t>
          </a:r>
          <a:endParaRPr lang="it-IT"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5</xdr:row>
      <xdr:rowOff>22223</xdr:rowOff>
    </xdr:from>
    <xdr:to>
      <xdr:col>10</xdr:col>
      <xdr:colOff>222250</xdr:colOff>
      <xdr:row>45</xdr:row>
      <xdr:rowOff>25401</xdr:rowOff>
    </xdr:to>
    <xdr:sp macro="" textlink="">
      <xdr:nvSpPr>
        <xdr:cNvPr id="2" name="Text Box 16">
          <a:extLst>
            <a:ext uri="{FF2B5EF4-FFF2-40B4-BE49-F238E27FC236}">
              <a16:creationId xmlns:a16="http://schemas.microsoft.com/office/drawing/2014/main" id="{36383856-3604-9590-39ED-3ED8623DEE1E}"/>
            </a:ext>
          </a:extLst>
        </xdr:cNvPr>
        <xdr:cNvSpPr txBox="1">
          <a:spLocks noChangeArrowheads="1"/>
        </xdr:cNvSpPr>
      </xdr:nvSpPr>
      <xdr:spPr bwMode="auto">
        <a:xfrm>
          <a:off x="457200" y="1514473"/>
          <a:ext cx="6350000" cy="6365878"/>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lnSpc>
              <a:spcPts val="1000"/>
            </a:lnSpc>
            <a:defRPr sz="1000"/>
          </a:pPr>
          <a:endParaRPr lang="it-IT" sz="1000" b="0" i="0">
            <a:latin typeface="Arial" pitchFamily="34" charset="0"/>
            <a:ea typeface="+mn-ea"/>
            <a:cs typeface="Arial" pitchFamily="34" charset="0"/>
          </a:endParaRPr>
        </a:p>
        <a:p>
          <a:pPr algn="l" rtl="0">
            <a:lnSpc>
              <a:spcPts val="1000"/>
            </a:lnSpc>
            <a:defRPr sz="1000"/>
          </a:pPr>
          <a:r>
            <a:rPr lang="it-IT" sz="1000" b="0" i="0">
              <a:latin typeface="Arial" pitchFamily="34" charset="0"/>
              <a:ea typeface="+mn-ea"/>
              <a:cs typeface="Arial" pitchFamily="34" charset="0"/>
            </a:rPr>
            <a:t>Questo software, progettato</a:t>
          </a:r>
          <a:r>
            <a:rPr lang="it-IT" sz="1000" b="0" i="0" baseline="0">
              <a:latin typeface="Arial" pitchFamily="34" charset="0"/>
              <a:ea typeface="+mn-ea"/>
              <a:cs typeface="Arial" pitchFamily="34" charset="0"/>
            </a:rPr>
            <a:t> per l'analisi dei costi di due imprese che operano entrambe nel settore della trasformazione del pomodoro ma differenti per la dimensione (volume di fatturato), si prefigge di stimore lo studente a rispondere ai seguenti quesiti:</a:t>
          </a:r>
        </a:p>
        <a:p>
          <a:pPr algn="l" rtl="0">
            <a:lnSpc>
              <a:spcPts val="1000"/>
            </a:lnSpc>
            <a:defRPr sz="1000"/>
          </a:pPr>
          <a:endParaRPr lang="it-IT" sz="1000" b="0" i="0" baseline="0">
            <a:latin typeface="Arial" pitchFamily="34" charset="0"/>
            <a:ea typeface="+mn-ea"/>
            <a:cs typeface="Arial" pitchFamily="34" charset="0"/>
          </a:endParaRPr>
        </a:p>
        <a:p>
          <a:pPr algn="l" rtl="0">
            <a:lnSpc>
              <a:spcPts val="1200"/>
            </a:lnSpc>
          </a:pPr>
          <a:r>
            <a:rPr lang="it-IT" sz="1100" b="0" i="0" baseline="0">
              <a:latin typeface="+mn-lt"/>
              <a:ea typeface="+mn-ea"/>
              <a:cs typeface="+mn-cs"/>
            </a:rPr>
            <a:t>  &gt;  Qual'è la mia struttura di costo?</a:t>
          </a:r>
          <a:endParaRPr lang="it-IT" sz="1000" b="0"/>
        </a:p>
        <a:p>
          <a:pPr algn="l" rtl="0">
            <a:lnSpc>
              <a:spcPts val="1200"/>
            </a:lnSpc>
          </a:pPr>
          <a:r>
            <a:rPr lang="it-IT" sz="1100" b="0" i="0" baseline="0">
              <a:latin typeface="+mn-lt"/>
              <a:ea typeface="+mn-ea"/>
              <a:cs typeface="+mn-cs"/>
            </a:rPr>
            <a:t>  &gt;  Perchè realizzo margini solo su alcuni prodotti?</a:t>
          </a:r>
          <a:endParaRPr lang="it-IT" sz="1000" b="0"/>
        </a:p>
        <a:p>
          <a:pPr algn="l" rtl="0" eaLnBrk="1" fontAlgn="auto" latinLnBrk="0" hangingPunct="1">
            <a:lnSpc>
              <a:spcPts val="1200"/>
            </a:lnSpc>
          </a:pPr>
          <a:r>
            <a:rPr lang="it-IT" sz="1100" b="0" i="0" baseline="0">
              <a:latin typeface="+mn-lt"/>
              <a:ea typeface="+mn-ea"/>
              <a:cs typeface="+mn-cs"/>
            </a:rPr>
            <a:t>  &gt;  Posso ridurre i loro prezzi?</a:t>
          </a:r>
        </a:p>
        <a:p>
          <a:pPr algn="l" rtl="0" eaLnBrk="1" fontAlgn="auto" latinLnBrk="0" hangingPunct="1">
            <a:lnSpc>
              <a:spcPts val="1200"/>
            </a:lnSpc>
          </a:pPr>
          <a:r>
            <a:rPr lang="it-IT" sz="1100" b="0" i="0" baseline="0">
              <a:latin typeface="+mn-lt"/>
              <a:ea typeface="+mn-ea"/>
              <a:cs typeface="+mn-cs"/>
            </a:rPr>
            <a:t>  &gt; Quali azioni sono necessarie per pervenire a EBIT positivi?</a:t>
          </a:r>
        </a:p>
        <a:p>
          <a:pPr marL="0" marR="0" lvl="0" indent="0" algn="l" defTabSz="914400" rtl="0" eaLnBrk="1" fontAlgn="auto" latinLnBrk="0" hangingPunct="1">
            <a:lnSpc>
              <a:spcPct val="100000"/>
            </a:lnSpc>
            <a:spcBef>
              <a:spcPts val="0"/>
            </a:spcBef>
            <a:spcAft>
              <a:spcPts val="0"/>
            </a:spcAft>
            <a:buClrTx/>
            <a:buSzTx/>
            <a:buFontTx/>
            <a:buNone/>
            <a:tabLst/>
            <a:defRPr/>
          </a:pPr>
          <a:r>
            <a:rPr lang="it-IT" sz="1100" b="0" i="0" baseline="0">
              <a:effectLst/>
              <a:latin typeface="+mn-lt"/>
              <a:ea typeface="+mn-ea"/>
              <a:cs typeface="+mn-cs"/>
            </a:rPr>
            <a:t>  &gt; Quali azioni sono necessarie per pervenire a Margini di Contribuzione positivi?</a:t>
          </a:r>
          <a:endParaRPr lang="it-IT" sz="1100" b="0" i="0" baseline="0">
            <a:latin typeface="+mn-lt"/>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a:pPr>
          <a:r>
            <a:rPr lang="it-IT" sz="1100" b="0" i="0" baseline="0">
              <a:effectLst/>
              <a:latin typeface="+mn-lt"/>
              <a:ea typeface="+mn-ea"/>
              <a:cs typeface="+mn-cs"/>
            </a:rPr>
            <a:t>  &gt; Quali azioni sono necessarie per pervenire a Margini di Sicurezza non inferiori al 10%?</a:t>
          </a:r>
        </a:p>
        <a:p>
          <a:pPr marL="0" marR="0" lvl="0" indent="0" algn="l" defTabSz="914400" rtl="0" eaLnBrk="1" fontAlgn="auto" latinLnBrk="0" hangingPunct="1">
            <a:lnSpc>
              <a:spcPts val="1200"/>
            </a:lnSpc>
            <a:spcBef>
              <a:spcPts val="0"/>
            </a:spcBef>
            <a:spcAft>
              <a:spcPts val="0"/>
            </a:spcAft>
            <a:buClrTx/>
            <a:buSzTx/>
            <a:buFontTx/>
            <a:buNone/>
            <a:tabLst/>
            <a:defRPr/>
          </a:pPr>
          <a:r>
            <a:rPr lang="it-IT" sz="1100" b="0" i="0" baseline="0">
              <a:effectLst/>
              <a:latin typeface="+mn-lt"/>
              <a:ea typeface="+mn-ea"/>
              <a:cs typeface="+mn-cs"/>
            </a:rPr>
            <a:t>  &gt; Quali azioni sono necessarie per pervenire rapidamente al punto di pareggio?</a:t>
          </a:r>
          <a:endParaRPr lang="it-IT">
            <a:effectLst/>
          </a:endParaRP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con il fine ultimo di prendere decisioni orientate alla creazione di valore dell'impresa.  </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La simulazione è costruita su 13 livelli, così distinti:</a:t>
          </a:r>
        </a:p>
        <a:p>
          <a:pPr algn="l" rtl="0">
            <a:lnSpc>
              <a:spcPts val="1000"/>
            </a:lnSpc>
            <a:defRPr sz="1000"/>
          </a:pPr>
          <a:r>
            <a:rPr lang="it-IT" sz="1000" b="0" i="0" strike="noStrike" baseline="0">
              <a:solidFill>
                <a:srgbClr val="000000"/>
              </a:solidFill>
              <a:latin typeface="Arial" pitchFamily="34" charset="0"/>
              <a:ea typeface="+mn-ea"/>
              <a:cs typeface="Arial" pitchFamily="34" charset="0"/>
            </a:rPr>
            <a:t> </a:t>
          </a:r>
        </a:p>
        <a:p>
          <a:pPr algn="l" rtl="0">
            <a:lnSpc>
              <a:spcPts val="1000"/>
            </a:lnSpc>
            <a:defRPr sz="1000"/>
          </a:pPr>
          <a:r>
            <a:rPr lang="it-IT" sz="1000" b="0" i="0" strike="noStrike" baseline="0">
              <a:solidFill>
                <a:srgbClr val="000000"/>
              </a:solidFill>
              <a:latin typeface="Arial" pitchFamily="34" charset="0"/>
              <a:ea typeface="+mn-ea"/>
              <a:cs typeface="Arial" pitchFamily="34" charset="0"/>
            </a:rPr>
            <a:t>  &gt;  Bilancio d'esercizio (Conto Economico)</a:t>
          </a:r>
        </a:p>
        <a:p>
          <a:pPr algn="l" rtl="0">
            <a:lnSpc>
              <a:spcPts val="1000"/>
            </a:lnSpc>
            <a:defRPr sz="1000"/>
          </a:pPr>
          <a:r>
            <a:rPr lang="it-IT" sz="1000" b="0" i="0" baseline="0">
              <a:latin typeface="Arial" pitchFamily="34" charset="0"/>
              <a:ea typeface="+mn-ea"/>
              <a:cs typeface="Arial" pitchFamily="34" charset="0"/>
            </a:rPr>
            <a:t>  &gt;  </a:t>
          </a:r>
          <a:r>
            <a:rPr lang="it-IT" sz="1000" b="0" i="0" strike="noStrike" baseline="0">
              <a:solidFill>
                <a:srgbClr val="000000"/>
              </a:solidFill>
              <a:latin typeface="Arial" pitchFamily="34" charset="0"/>
              <a:ea typeface="+mn-ea"/>
              <a:cs typeface="Arial" pitchFamily="34" charset="0"/>
            </a:rPr>
            <a:t>Conto economico riclassificato</a:t>
          </a:r>
          <a:endParaRPr lang="it-IT" sz="1000" b="0" i="0" baseline="0">
            <a:latin typeface="Arial" pitchFamily="34" charset="0"/>
            <a:ea typeface="+mn-ea"/>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Risultato industriale</a:t>
          </a: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Struttura Ricavi</a:t>
          </a:r>
        </a:p>
        <a:p>
          <a:pPr algn="l" rtl="0" eaLnBrk="1" fontAlgn="auto" latinLnBrk="0" hangingPunct="1">
            <a:lnSpc>
              <a:spcPts val="1000"/>
            </a:lnSpc>
          </a:pPr>
          <a:r>
            <a:rPr lang="it-IT" sz="1000" b="0" i="0" baseline="0">
              <a:latin typeface="Arial" pitchFamily="34" charset="0"/>
              <a:ea typeface="+mn-ea"/>
              <a:cs typeface="Arial" pitchFamily="34" charset="0"/>
            </a:rPr>
            <a:t>  &gt;  Scheda Ricavi</a:t>
          </a:r>
          <a:endParaRPr lang="it-IT" sz="1000">
            <a:latin typeface="Arial" pitchFamily="34" charset="0"/>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Costi diretti del personale</a:t>
          </a:r>
          <a:endParaRPr lang="it-IT" sz="1000">
            <a:latin typeface="Arial" pitchFamily="34" charset="0"/>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Costi diretti</a:t>
          </a:r>
          <a:endParaRPr lang="it-IT" sz="1000">
            <a:latin typeface="Arial" pitchFamily="34" charset="0"/>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Struttura Costi Azienda A</a:t>
          </a:r>
          <a:endParaRPr lang="it-IT" sz="1000">
            <a:latin typeface="Arial" pitchFamily="34" charset="0"/>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Struttura Costi Azienda B</a:t>
          </a:r>
          <a:endParaRPr lang="it-IT" sz="1000">
            <a:latin typeface="Arial" pitchFamily="34" charset="0"/>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BEA Azienda A</a:t>
          </a:r>
          <a:endParaRPr lang="it-IT" sz="1000">
            <a:latin typeface="Arial" pitchFamily="34" charset="0"/>
            <a:ea typeface="+mn-ea"/>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a:pPr>
          <a:r>
            <a:rPr lang="it-IT" sz="1000" b="0" i="0" baseline="0">
              <a:latin typeface="Arial" pitchFamily="34" charset="0"/>
              <a:ea typeface="+mn-ea"/>
              <a:cs typeface="Arial" pitchFamily="34" charset="0"/>
            </a:rPr>
            <a:t>  &gt;  BEA Azienda B</a:t>
          </a:r>
          <a:endParaRPr lang="it-IT" sz="1000">
            <a:latin typeface="Arial" pitchFamily="34" charset="0"/>
            <a:ea typeface="+mn-ea"/>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a:pPr>
          <a:r>
            <a:rPr lang="it-IT" sz="1000" b="0" i="0" baseline="0">
              <a:latin typeface="Arial" pitchFamily="34" charset="0"/>
              <a:ea typeface="+mn-ea"/>
              <a:cs typeface="Arial" pitchFamily="34" charset="0"/>
            </a:rPr>
            <a:t>  &gt;  Sintesi</a:t>
          </a:r>
          <a:endParaRPr lang="it-IT" sz="1000">
            <a:latin typeface="Arial" pitchFamily="34" charset="0"/>
            <a:ea typeface="+mn-ea"/>
            <a:cs typeface="Arial" pitchFamily="34" charset="0"/>
          </a:endParaRPr>
        </a:p>
        <a:p>
          <a:pPr marL="0" marR="0" indent="0" algn="l" defTabSz="914400" rtl="0" eaLnBrk="1" fontAlgn="auto" latinLnBrk="0" hangingPunct="1">
            <a:lnSpc>
              <a:spcPts val="1000"/>
            </a:lnSpc>
            <a:spcBef>
              <a:spcPts val="0"/>
            </a:spcBef>
            <a:spcAft>
              <a:spcPts val="0"/>
            </a:spcAft>
            <a:buClrTx/>
            <a:buSzTx/>
            <a:buFontTx/>
            <a:buNone/>
            <a:tabLst/>
            <a:defRPr/>
          </a:pPr>
          <a:r>
            <a:rPr lang="it-IT" sz="1000" b="0" i="0" baseline="0">
              <a:latin typeface="Arial" pitchFamily="34" charset="0"/>
              <a:ea typeface="+mn-ea"/>
              <a:cs typeface="Arial" pitchFamily="34" charset="0"/>
            </a:rPr>
            <a:t>  &gt;  Input</a:t>
          </a:r>
          <a:endParaRPr lang="it-IT" sz="1000">
            <a:latin typeface="Arial" pitchFamily="34" charset="0"/>
            <a:ea typeface="+mn-ea"/>
            <a:cs typeface="Arial" pitchFamily="34" charset="0"/>
          </a:endParaRPr>
        </a:p>
        <a:p>
          <a:pPr algn="l" rtl="0">
            <a:lnSpc>
              <a:spcPts val="1000"/>
            </a:lnSpc>
          </a:pPr>
          <a:endParaRPr lang="it-IT" sz="1000" b="0" i="0" baseline="0">
            <a:latin typeface="Arial" pitchFamily="34" charset="0"/>
            <a:ea typeface="+mn-ea"/>
            <a:cs typeface="Arial" pitchFamily="34" charset="0"/>
          </a:endParaRPr>
        </a:p>
        <a:p>
          <a:pPr algn="l" rtl="0">
            <a:lnSpc>
              <a:spcPts val="1000"/>
            </a:lnSpc>
          </a:pPr>
          <a:r>
            <a:rPr lang="it-IT" sz="1000" b="0" i="0" baseline="0">
              <a:latin typeface="Arial" pitchFamily="34" charset="0"/>
              <a:ea typeface="+mn-ea"/>
              <a:cs typeface="Arial" pitchFamily="34" charset="0"/>
            </a:rPr>
            <a:t>Dal consolidamento di tali livelli si perviene all'individuazione delle azioni che permettono all'azienda di raggiungere il profitto date le peculiarità strutturali che differenziano la piccola impresa rispetto alla media impresa.</a:t>
          </a:r>
        </a:p>
        <a:p>
          <a:pPr algn="l" rtl="0">
            <a:lnSpc>
              <a:spcPts val="1000"/>
            </a:lnSpc>
          </a:pPr>
          <a:endParaRPr lang="it-IT" sz="1000" i="0">
            <a:latin typeface="Arial" pitchFamily="34" charset="0"/>
            <a:ea typeface="+mn-ea"/>
            <a:cs typeface="Arial" pitchFamily="34" charset="0"/>
          </a:endParaRPr>
        </a:p>
        <a:p>
          <a:pPr algn="l" rtl="0">
            <a:lnSpc>
              <a:spcPts val="1000"/>
            </a:lnSpc>
            <a:defRPr sz="1000"/>
          </a:pPr>
          <a:r>
            <a:rPr lang="it-IT" sz="1000" i="0">
              <a:latin typeface="Arial" pitchFamily="34" charset="0"/>
              <a:ea typeface="+mn-ea"/>
              <a:cs typeface="Arial" pitchFamily="34" charset="0"/>
            </a:rPr>
            <a:t>Con</a:t>
          </a:r>
          <a:r>
            <a:rPr lang="it-IT" sz="1000" i="0" baseline="0">
              <a:latin typeface="Arial" pitchFamily="34" charset="0"/>
              <a:ea typeface="+mn-ea"/>
              <a:cs typeface="Arial" pitchFamily="34" charset="0"/>
            </a:rPr>
            <a:t> la speranza c</a:t>
          </a:r>
          <a:r>
            <a:rPr lang="it-IT" sz="1000" i="0">
              <a:latin typeface="Arial" pitchFamily="34" charset="0"/>
              <a:ea typeface="+mn-ea"/>
              <a:cs typeface="Arial" pitchFamily="34" charset="0"/>
            </a:rPr>
            <a:t>he questo</a:t>
          </a:r>
          <a:r>
            <a:rPr lang="it-IT" sz="1000" i="0" baseline="0">
              <a:latin typeface="Arial" pitchFamily="34" charset="0"/>
              <a:ea typeface="+mn-ea"/>
              <a:cs typeface="Arial" pitchFamily="34" charset="0"/>
            </a:rPr>
            <a:t> applicativo possa esservi di aiuto nel rispondere ai quesiti proposti, non mi rimane che augurarvi buon lavoro.</a:t>
          </a:r>
        </a:p>
        <a:p>
          <a:pPr algn="l" rtl="0">
            <a:lnSpc>
              <a:spcPts val="1000"/>
            </a:lnSpc>
            <a:defRPr sz="1000"/>
          </a:pPr>
          <a:endParaRPr lang="it-IT" sz="1000" i="0" baseline="0">
            <a:latin typeface="Arial" pitchFamily="34" charset="0"/>
            <a:ea typeface="+mn-ea"/>
            <a:cs typeface="Arial" pitchFamily="34" charset="0"/>
          </a:endParaRPr>
        </a:p>
        <a:p>
          <a:pPr algn="l" rtl="0">
            <a:lnSpc>
              <a:spcPts val="1000"/>
            </a:lnSpc>
            <a:defRPr sz="1000"/>
          </a:pPr>
          <a:endParaRPr lang="it-IT" sz="1000" i="0" baseline="0">
            <a:latin typeface="Arial" pitchFamily="34" charset="0"/>
            <a:ea typeface="+mn-ea"/>
            <a:cs typeface="Arial" pitchFamily="34" charset="0"/>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it-IT" sz="1200" b="1" i="0" baseline="0">
              <a:latin typeface="+mn-lt"/>
              <a:ea typeface="+mn-ea"/>
              <a:cs typeface="+mn-cs"/>
            </a:rPr>
            <a:t>Prof. Andrea QUINTILIANI</a:t>
          </a:r>
          <a:endParaRPr lang="it-IT" sz="1200"/>
        </a:p>
        <a:p>
          <a:pPr algn="l" rtl="0">
            <a:lnSpc>
              <a:spcPts val="1000"/>
            </a:lnSpc>
            <a:defRPr sz="1000"/>
          </a:pPr>
          <a:endParaRPr lang="it-IT" sz="1000" i="0" baseline="0">
            <a:latin typeface="Arial" pitchFamily="34" charset="0"/>
            <a:ea typeface="+mn-ea"/>
            <a:cs typeface="Arial" pitchFamily="34" charset="0"/>
          </a:endParaRPr>
        </a:p>
        <a:p>
          <a:pPr algn="l" rtl="0">
            <a:lnSpc>
              <a:spcPts val="1000"/>
            </a:lnSpc>
            <a:defRPr sz="1000"/>
          </a:pPr>
          <a:endParaRPr lang="it-IT" sz="1000" i="0" baseline="0">
            <a:latin typeface="Arial" pitchFamily="34" charset="0"/>
            <a:ea typeface="+mn-ea"/>
            <a:cs typeface="Arial" pitchFamily="34" charset="0"/>
          </a:endParaRPr>
        </a:p>
        <a:p>
          <a:pPr algn="l" rtl="0">
            <a:defRPr sz="1000"/>
          </a:pPr>
          <a:r>
            <a:rPr lang="it-IT" sz="1000" b="1" i="0" baseline="0">
              <a:solidFill>
                <a:srgbClr val="C00000"/>
              </a:solidFill>
              <a:latin typeface="Arial" pitchFamily="34" charset="0"/>
              <a:ea typeface="+mn-ea"/>
              <a:cs typeface="Arial" pitchFamily="34" charset="0"/>
            </a:rPr>
            <a:t>NOTA INFORMATIVA</a:t>
          </a:r>
          <a:r>
            <a:rPr lang="it-IT" sz="1000" b="1" i="0" baseline="-25000">
              <a:solidFill>
                <a:srgbClr val="C00000"/>
              </a:solidFill>
              <a:latin typeface="Arial" pitchFamily="34" charset="0"/>
              <a:ea typeface="+mn-ea"/>
              <a:cs typeface="Arial" pitchFamily="34" charset="0"/>
            </a:rPr>
            <a:t>1</a:t>
          </a:r>
          <a:r>
            <a:rPr lang="it-IT" sz="1000" i="0" baseline="0">
              <a:solidFill>
                <a:srgbClr val="C00000"/>
              </a:solidFill>
              <a:latin typeface="Arial" pitchFamily="34" charset="0"/>
              <a:ea typeface="+mn-ea"/>
              <a:cs typeface="Arial" pitchFamily="34" charset="0"/>
            </a:rPr>
            <a:t>: </a:t>
          </a:r>
          <a:r>
            <a:rPr lang="it-IT" sz="1000" b="1" i="0" u="sng" baseline="0">
              <a:solidFill>
                <a:srgbClr val="C00000"/>
              </a:solidFill>
              <a:latin typeface="Arial" pitchFamily="34" charset="0"/>
              <a:ea typeface="+mn-ea"/>
              <a:cs typeface="Arial" pitchFamily="34" charset="0"/>
            </a:rPr>
            <a:t>LO STUDENTE è pregato di inserire i dati unicamente nel foglio "INPUT"</a:t>
          </a:r>
          <a:r>
            <a:rPr lang="it-IT" sz="1000" b="1" i="0" baseline="0">
              <a:solidFill>
                <a:srgbClr val="C00000"/>
              </a:solidFill>
              <a:latin typeface="Arial" pitchFamily="34" charset="0"/>
              <a:ea typeface="+mn-ea"/>
              <a:cs typeface="Arial" pitchFamily="34" charset="0"/>
            </a:rPr>
            <a:t>; </a:t>
          </a:r>
          <a:r>
            <a:rPr lang="it-IT" sz="1000" i="0" baseline="0">
              <a:solidFill>
                <a:srgbClr val="C00000"/>
              </a:solidFill>
              <a:latin typeface="Arial" pitchFamily="34" charset="0"/>
              <a:ea typeface="+mn-ea"/>
              <a:cs typeface="Arial" pitchFamily="34" charset="0"/>
            </a:rPr>
            <a:t>molti fogli di lavoro sono protetti da password. L'autore si riserva il diritto di fornire, previa sua autorizzazione, la password per rimuovere le  protezioni.</a:t>
          </a:r>
        </a:p>
        <a:p>
          <a:pPr algn="l" rtl="0" fontAlgn="base">
            <a:lnSpc>
              <a:spcPts val="1000"/>
            </a:lnSpc>
          </a:pPr>
          <a:endParaRPr lang="it-IT" sz="1000" i="0" baseline="0">
            <a:latin typeface="Arial" panose="020B0604020202020204" pitchFamily="34" charset="0"/>
            <a:ea typeface="+mn-ea"/>
            <a:cs typeface="Arial" panose="020B0604020202020204" pitchFamily="34" charset="0"/>
          </a:endParaRPr>
        </a:p>
        <a:p>
          <a:pPr algn="l" rtl="0">
            <a:lnSpc>
              <a:spcPts val="900"/>
            </a:lnSpc>
          </a:pPr>
          <a:r>
            <a:rPr lang="it-IT" sz="1000" b="0" i="0" strike="noStrike" baseline="0">
              <a:solidFill>
                <a:srgbClr val="000000"/>
              </a:solidFill>
              <a:latin typeface="Arial" pitchFamily="34" charset="0"/>
              <a:ea typeface="+mn-ea"/>
              <a:cs typeface="Arial" pitchFamily="34" charset="0"/>
            </a:rPr>
            <a:t>  </a:t>
          </a:r>
        </a:p>
        <a:p>
          <a:pPr marL="0" marR="0" indent="0" algn="l" defTabSz="914400" rtl="0" eaLnBrk="1" fontAlgn="auto" latinLnBrk="0" hangingPunct="1">
            <a:lnSpc>
              <a:spcPct val="100000"/>
            </a:lnSpc>
            <a:spcBef>
              <a:spcPts val="0"/>
            </a:spcBef>
            <a:spcAft>
              <a:spcPts val="0"/>
            </a:spcAft>
            <a:buClrTx/>
            <a:buSzTx/>
            <a:buFontTx/>
            <a:buNone/>
            <a:tabLst/>
            <a:defRPr/>
          </a:pPr>
          <a:r>
            <a:rPr lang="it-IT" sz="1000" b="1" i="0" baseline="0">
              <a:solidFill>
                <a:srgbClr val="C00000"/>
              </a:solidFill>
              <a:latin typeface="Arial" pitchFamily="34" charset="0"/>
              <a:ea typeface="+mn-ea"/>
              <a:cs typeface="Arial" pitchFamily="34" charset="0"/>
            </a:rPr>
            <a:t>NOTA INFORMATIVA</a:t>
          </a:r>
          <a:r>
            <a:rPr lang="it-IT" sz="1000" b="1" i="0" baseline="-25000">
              <a:solidFill>
                <a:srgbClr val="C00000"/>
              </a:solidFill>
              <a:latin typeface="Arial" pitchFamily="34" charset="0"/>
              <a:ea typeface="+mn-ea"/>
              <a:cs typeface="Arial" pitchFamily="34" charset="0"/>
            </a:rPr>
            <a:t>2</a:t>
          </a:r>
          <a:r>
            <a:rPr lang="it-IT" sz="1000" i="0" baseline="0">
              <a:solidFill>
                <a:srgbClr val="C00000"/>
              </a:solidFill>
              <a:latin typeface="Arial" pitchFamily="34" charset="0"/>
              <a:ea typeface="+mn-ea"/>
              <a:cs typeface="Arial" pitchFamily="34" charset="0"/>
            </a:rPr>
            <a:t>: Questa simulazione, per ragioni di semplicità e perchè esula dagli scopi dell'applicazione, non considera le rimanenze.</a:t>
          </a:r>
          <a:endParaRPr lang="it-IT" sz="1000">
            <a:solidFill>
              <a:srgbClr val="C00000"/>
            </a:solidFill>
            <a:latin typeface="Arial" pitchFamily="34" charset="0"/>
            <a:cs typeface="Arial" pitchFamily="34" charset="0"/>
          </a:endParaRPr>
        </a:p>
        <a:p>
          <a:pPr algn="l" rtl="0">
            <a:lnSpc>
              <a:spcPts val="800"/>
            </a:lnSpc>
          </a:pPr>
          <a:endParaRPr lang="it-IT" sz="1000" b="0" i="0" strike="noStrike" baseline="0">
            <a:solidFill>
              <a:srgbClr val="000000"/>
            </a:solidFill>
            <a:latin typeface="Arial" pitchFamily="34" charset="0"/>
            <a:ea typeface="+mn-ea"/>
            <a:cs typeface="Arial" pitchFamily="34" charset="0"/>
          </a:endParaRPr>
        </a:p>
        <a:p>
          <a:pPr algn="l" rtl="0">
            <a:lnSpc>
              <a:spcPts val="900"/>
            </a:lnSpc>
          </a:pPr>
          <a:r>
            <a:rPr lang="it-IT" sz="1000" b="0" i="0" strike="noStrike" baseline="0">
              <a:solidFill>
                <a:srgbClr val="000000"/>
              </a:solidFill>
              <a:latin typeface="Arial" pitchFamily="34" charset="0"/>
              <a:ea typeface="+mn-ea"/>
              <a:cs typeface="Arial" pitchFamily="34" charset="0"/>
            </a:rPr>
            <a:t>                                                                                </a:t>
          </a:r>
        </a:p>
        <a:p>
          <a:pPr algn="l" rtl="0">
            <a:lnSpc>
              <a:spcPts val="900"/>
            </a:lnSpc>
            <a:defRPr sz="1000"/>
          </a:pPr>
          <a:endParaRPr lang="it-IT" sz="1000" b="0" i="0" strike="noStrike" baseline="0">
            <a:solidFill>
              <a:srgbClr val="000000"/>
            </a:solidFill>
            <a:latin typeface="Arial" pitchFamily="34" charset="0"/>
            <a:ea typeface="+mn-ea"/>
            <a:cs typeface="Arial" pitchFamily="34" charset="0"/>
          </a:endParaRPr>
        </a:p>
        <a:p>
          <a:pPr algn="l" rtl="0">
            <a:lnSpc>
              <a:spcPts val="1000"/>
            </a:lnSpc>
            <a:defRPr sz="1000"/>
          </a:pPr>
          <a:endParaRPr lang="it-IT" sz="1000" b="0" i="0" strike="noStrike" baseline="0">
            <a:solidFill>
              <a:srgbClr val="000000"/>
            </a:solidFill>
            <a:latin typeface="Arial" pitchFamily="34" charset="0"/>
            <a:ea typeface="+mn-ea"/>
            <a:cs typeface="Arial" pitchFamily="34" charset="0"/>
          </a:endParaRPr>
        </a:p>
      </xdr:txBody>
    </xdr:sp>
    <xdr:clientData/>
  </xdr:twoCellAnchor>
  <xdr:twoCellAnchor>
    <xdr:from>
      <xdr:col>11</xdr:col>
      <xdr:colOff>0</xdr:colOff>
      <xdr:row>5</xdr:row>
      <xdr:rowOff>0</xdr:rowOff>
    </xdr:from>
    <xdr:to>
      <xdr:col>20</xdr:col>
      <xdr:colOff>546100</xdr:colOff>
      <xdr:row>45</xdr:row>
      <xdr:rowOff>3178</xdr:rowOff>
    </xdr:to>
    <xdr:sp macro="" textlink="">
      <xdr:nvSpPr>
        <xdr:cNvPr id="3" name="Text Box 16">
          <a:extLst>
            <a:ext uri="{FF2B5EF4-FFF2-40B4-BE49-F238E27FC236}">
              <a16:creationId xmlns:a16="http://schemas.microsoft.com/office/drawing/2014/main" id="{D60E14EB-881D-4473-9BF0-9751CA10905F}"/>
            </a:ext>
          </a:extLst>
        </xdr:cNvPr>
        <xdr:cNvSpPr txBox="1">
          <a:spLocks noChangeArrowheads="1"/>
        </xdr:cNvSpPr>
      </xdr:nvSpPr>
      <xdr:spPr bwMode="auto">
        <a:xfrm>
          <a:off x="6877050" y="1171575"/>
          <a:ext cx="6032500" cy="6480178"/>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lnSpc>
              <a:spcPts val="1000"/>
            </a:lnSpc>
            <a:defRPr sz="1000"/>
          </a:pPr>
          <a:endParaRPr lang="it-IT" sz="1000" b="0" i="0">
            <a:latin typeface="Arial" pitchFamily="34" charset="0"/>
            <a:ea typeface="+mn-ea"/>
            <a:cs typeface="Arial" pitchFamily="34" charset="0"/>
          </a:endParaRPr>
        </a:p>
        <a:p>
          <a:pPr algn="l" rtl="0">
            <a:lnSpc>
              <a:spcPts val="1000"/>
            </a:lnSpc>
            <a:defRPr sz="1000"/>
          </a:pPr>
          <a:r>
            <a:rPr lang="it-IT" sz="1000" b="0" i="0">
              <a:latin typeface="Arial" pitchFamily="34" charset="0"/>
              <a:ea typeface="+mn-ea"/>
              <a:cs typeface="Arial" pitchFamily="34" charset="0"/>
            </a:rPr>
            <a:t>This software, designed for the cost analysis of two companies both operating in the tomato processing sector but different in size (turnover volume), aims to encourage the student to answer the following questions:</a:t>
          </a:r>
        </a:p>
        <a:p>
          <a:pPr algn="l" rtl="0">
            <a:lnSpc>
              <a:spcPts val="1000"/>
            </a:lnSpc>
            <a:defRPr sz="1000"/>
          </a:pPr>
          <a:endParaRPr lang="it-IT" sz="1000" b="0" i="0" baseline="0">
            <a:latin typeface="Arial" pitchFamily="34" charset="0"/>
            <a:ea typeface="+mn-ea"/>
            <a:cs typeface="Arial" pitchFamily="34" charset="0"/>
          </a:endParaRPr>
        </a:p>
        <a:p>
          <a:pPr algn="l" rtl="0">
            <a:lnSpc>
              <a:spcPts val="1200"/>
            </a:lnSpc>
          </a:pPr>
          <a:r>
            <a:rPr lang="it-IT" sz="1100" b="0" i="0" baseline="0">
              <a:latin typeface="+mn-lt"/>
              <a:ea typeface="+mn-ea"/>
              <a:cs typeface="+mn-cs"/>
            </a:rPr>
            <a:t>&gt; What is my cost structure? </a:t>
          </a:r>
        </a:p>
        <a:p>
          <a:pPr algn="l" rtl="0">
            <a:lnSpc>
              <a:spcPts val="1200"/>
            </a:lnSpc>
          </a:pPr>
          <a:r>
            <a:rPr lang="it-IT" sz="1100" b="0" i="0" baseline="0">
              <a:latin typeface="+mn-lt"/>
              <a:ea typeface="+mn-ea"/>
              <a:cs typeface="+mn-cs"/>
            </a:rPr>
            <a:t>&gt; Why do I only make margins on some products? </a:t>
          </a:r>
        </a:p>
        <a:p>
          <a:pPr algn="l" rtl="0">
            <a:lnSpc>
              <a:spcPts val="1200"/>
            </a:lnSpc>
          </a:pPr>
          <a:r>
            <a:rPr lang="it-IT" sz="1100" b="0" i="0" baseline="0">
              <a:latin typeface="+mn-lt"/>
              <a:ea typeface="+mn-ea"/>
              <a:cs typeface="+mn-cs"/>
            </a:rPr>
            <a:t>&gt; Can I reduce their prices? </a:t>
          </a:r>
        </a:p>
        <a:p>
          <a:pPr algn="l" rtl="0">
            <a:lnSpc>
              <a:spcPts val="1200"/>
            </a:lnSpc>
          </a:pPr>
          <a:r>
            <a:rPr lang="it-IT" sz="1100" b="0" i="0" baseline="0">
              <a:latin typeface="+mn-lt"/>
              <a:ea typeface="+mn-ea"/>
              <a:cs typeface="+mn-cs"/>
            </a:rPr>
            <a:t>&gt; What actions are necessary to achieve positive EBIT? </a:t>
          </a:r>
        </a:p>
        <a:p>
          <a:pPr algn="l" rtl="0">
            <a:lnSpc>
              <a:spcPts val="1200"/>
            </a:lnSpc>
          </a:pPr>
          <a:r>
            <a:rPr lang="it-IT" sz="1100" b="0" i="0" baseline="0">
              <a:latin typeface="+mn-lt"/>
              <a:ea typeface="+mn-ea"/>
              <a:cs typeface="+mn-cs"/>
            </a:rPr>
            <a:t>&gt; What actions are necessary to achieve positive contribution margins? </a:t>
          </a:r>
        </a:p>
        <a:p>
          <a:pPr algn="l" rtl="0">
            <a:lnSpc>
              <a:spcPts val="1200"/>
            </a:lnSpc>
          </a:pPr>
          <a:r>
            <a:rPr lang="it-IT" sz="1100" b="0" i="0" baseline="0">
              <a:latin typeface="+mn-lt"/>
              <a:ea typeface="+mn-ea"/>
              <a:cs typeface="+mn-cs"/>
            </a:rPr>
            <a:t>&gt; What actions are necessary to achieve safety margins of no less than 10%? </a:t>
          </a:r>
        </a:p>
        <a:p>
          <a:pPr algn="l" rtl="0">
            <a:lnSpc>
              <a:spcPts val="1200"/>
            </a:lnSpc>
          </a:pPr>
          <a:r>
            <a:rPr lang="it-IT" sz="1100" b="0" i="0" baseline="0">
              <a:latin typeface="+mn-lt"/>
              <a:ea typeface="+mn-ea"/>
              <a:cs typeface="+mn-cs"/>
            </a:rPr>
            <a:t>&gt; What actions are needed to quickly reach the break-even point</a:t>
          </a:r>
          <a:r>
            <a:rPr lang="it-IT" sz="1100" b="0" i="0" baseline="0">
              <a:effectLst/>
              <a:latin typeface="+mn-lt"/>
              <a:ea typeface="+mn-ea"/>
              <a:cs typeface="+mn-cs"/>
            </a:rPr>
            <a:t>?</a:t>
          </a:r>
          <a:endParaRPr lang="it-IT">
            <a:effectLst/>
          </a:endParaRP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with the ultimate aim of making decisions aimed at creating value for the company.</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The simulation is built on 13 levels, as follows: </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&gt; Financial Statements (Income Statement) </a:t>
          </a:r>
        </a:p>
        <a:p>
          <a:pPr algn="l" rtl="0">
            <a:lnSpc>
              <a:spcPts val="1000"/>
            </a:lnSpc>
            <a:defRPr sz="1000"/>
          </a:pPr>
          <a:r>
            <a:rPr lang="it-IT" sz="1000" b="0" i="0" baseline="0">
              <a:latin typeface="Arial" pitchFamily="34" charset="0"/>
              <a:ea typeface="+mn-ea"/>
              <a:cs typeface="Arial" pitchFamily="34" charset="0"/>
            </a:rPr>
            <a:t>&gt; Reclassified income statement </a:t>
          </a:r>
        </a:p>
        <a:p>
          <a:pPr algn="l" rtl="0">
            <a:lnSpc>
              <a:spcPts val="1000"/>
            </a:lnSpc>
            <a:defRPr sz="1000"/>
          </a:pPr>
          <a:r>
            <a:rPr lang="it-IT" sz="1000" b="0" i="0" baseline="0">
              <a:latin typeface="Arial" pitchFamily="34" charset="0"/>
              <a:ea typeface="+mn-ea"/>
              <a:cs typeface="Arial" pitchFamily="34" charset="0"/>
            </a:rPr>
            <a:t>&gt; Industrial result </a:t>
          </a:r>
        </a:p>
        <a:p>
          <a:pPr algn="l" rtl="0">
            <a:lnSpc>
              <a:spcPts val="1000"/>
            </a:lnSpc>
            <a:defRPr sz="1000"/>
          </a:pPr>
          <a:r>
            <a:rPr lang="it-IT" sz="1000" b="0" i="0" baseline="0">
              <a:latin typeface="Arial" pitchFamily="34" charset="0"/>
              <a:ea typeface="+mn-ea"/>
              <a:cs typeface="Arial" pitchFamily="34" charset="0"/>
            </a:rPr>
            <a:t>&gt; Revenue Structure </a:t>
          </a:r>
        </a:p>
        <a:p>
          <a:pPr algn="l" rtl="0">
            <a:lnSpc>
              <a:spcPts val="1000"/>
            </a:lnSpc>
            <a:defRPr sz="1000"/>
          </a:pPr>
          <a:r>
            <a:rPr lang="it-IT" sz="1000" b="0" i="0" baseline="0">
              <a:latin typeface="Arial" pitchFamily="34" charset="0"/>
              <a:ea typeface="+mn-ea"/>
              <a:cs typeface="Arial" pitchFamily="34" charset="0"/>
            </a:rPr>
            <a:t>&gt; Revenue tab </a:t>
          </a:r>
        </a:p>
        <a:p>
          <a:pPr algn="l" rtl="0">
            <a:lnSpc>
              <a:spcPts val="1000"/>
            </a:lnSpc>
            <a:defRPr sz="1000"/>
          </a:pPr>
          <a:r>
            <a:rPr lang="it-IT" sz="1000" b="0" i="0" baseline="0">
              <a:latin typeface="Arial" pitchFamily="34" charset="0"/>
              <a:ea typeface="+mn-ea"/>
              <a:cs typeface="Arial" pitchFamily="34" charset="0"/>
            </a:rPr>
            <a:t>&gt; Direct personnel costs </a:t>
          </a:r>
        </a:p>
        <a:p>
          <a:pPr algn="l" rtl="0">
            <a:lnSpc>
              <a:spcPts val="1000"/>
            </a:lnSpc>
            <a:defRPr sz="1000"/>
          </a:pPr>
          <a:r>
            <a:rPr lang="it-IT" sz="1000" b="0" i="0" baseline="0">
              <a:latin typeface="Arial" pitchFamily="34" charset="0"/>
              <a:ea typeface="+mn-ea"/>
              <a:cs typeface="Arial" pitchFamily="34" charset="0"/>
            </a:rPr>
            <a:t>&gt; Direct costs </a:t>
          </a:r>
        </a:p>
        <a:p>
          <a:pPr algn="l" rtl="0">
            <a:lnSpc>
              <a:spcPts val="1000"/>
            </a:lnSpc>
            <a:defRPr sz="1000"/>
          </a:pPr>
          <a:r>
            <a:rPr lang="it-IT" sz="1000" b="0" i="0" baseline="0">
              <a:latin typeface="Arial" pitchFamily="34" charset="0"/>
              <a:ea typeface="+mn-ea"/>
              <a:cs typeface="Arial" pitchFamily="34" charset="0"/>
            </a:rPr>
            <a:t>&gt; Company Cost Structure A </a:t>
          </a:r>
        </a:p>
        <a:p>
          <a:pPr algn="l" rtl="0">
            <a:lnSpc>
              <a:spcPts val="1000"/>
            </a:lnSpc>
            <a:defRPr sz="1000"/>
          </a:pPr>
          <a:r>
            <a:rPr lang="it-IT" sz="1000" b="0" i="0" baseline="0">
              <a:latin typeface="Arial" pitchFamily="34" charset="0"/>
              <a:ea typeface="+mn-ea"/>
              <a:cs typeface="Arial" pitchFamily="34" charset="0"/>
            </a:rPr>
            <a:t>&gt; Company Cost Structure B </a:t>
          </a:r>
        </a:p>
        <a:p>
          <a:pPr algn="l" rtl="0">
            <a:lnSpc>
              <a:spcPts val="1000"/>
            </a:lnSpc>
            <a:defRPr sz="1000"/>
          </a:pPr>
          <a:r>
            <a:rPr lang="it-IT" sz="1000" b="0" i="0" baseline="0">
              <a:latin typeface="Arial" pitchFamily="34" charset="0"/>
              <a:ea typeface="+mn-ea"/>
              <a:cs typeface="Arial" pitchFamily="34" charset="0"/>
            </a:rPr>
            <a:t>&gt; BEA Company A </a:t>
          </a:r>
        </a:p>
        <a:p>
          <a:pPr algn="l" rtl="0">
            <a:lnSpc>
              <a:spcPts val="1000"/>
            </a:lnSpc>
            <a:defRPr sz="1000"/>
          </a:pPr>
          <a:r>
            <a:rPr lang="it-IT" sz="1000" b="0" i="0" baseline="0">
              <a:latin typeface="Arial" pitchFamily="34" charset="0"/>
              <a:ea typeface="+mn-ea"/>
              <a:cs typeface="Arial" pitchFamily="34" charset="0"/>
            </a:rPr>
            <a:t>&gt; BEA Company B </a:t>
          </a:r>
        </a:p>
        <a:p>
          <a:pPr algn="l" rtl="0">
            <a:lnSpc>
              <a:spcPts val="1000"/>
            </a:lnSpc>
            <a:defRPr sz="1000"/>
          </a:pPr>
          <a:r>
            <a:rPr lang="it-IT" sz="1000" b="0" i="0" baseline="0">
              <a:latin typeface="Arial" pitchFamily="34" charset="0"/>
              <a:ea typeface="+mn-ea"/>
              <a:cs typeface="Arial" pitchFamily="34" charset="0"/>
            </a:rPr>
            <a:t>&gt; Summary </a:t>
          </a:r>
        </a:p>
        <a:p>
          <a:pPr algn="l" rtl="0">
            <a:lnSpc>
              <a:spcPts val="1000"/>
            </a:lnSpc>
            <a:defRPr sz="1000"/>
          </a:pPr>
          <a:r>
            <a:rPr lang="it-IT" sz="1000" b="0" i="0" baseline="0">
              <a:latin typeface="Arial" pitchFamily="34" charset="0"/>
              <a:ea typeface="+mn-ea"/>
              <a:cs typeface="Arial" pitchFamily="34" charset="0"/>
            </a:rPr>
            <a:t>&gt; Inputs</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The consolidation of these levels leads to the identification of the actions that allow the company to achieve profit given the structural peculiarities that differentiate the small business from the medium-sized business.</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0" i="0" baseline="0">
              <a:latin typeface="Arial" pitchFamily="34" charset="0"/>
              <a:ea typeface="+mn-ea"/>
              <a:cs typeface="Arial" pitchFamily="34" charset="0"/>
            </a:rPr>
            <a:t>With the hope that this application can help you in answering the questions posed, I can only wish you good luck in your work.</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1" i="0" baseline="0">
              <a:latin typeface="Arial" pitchFamily="34" charset="0"/>
              <a:ea typeface="+mn-ea"/>
              <a:cs typeface="Arial" pitchFamily="34" charset="0"/>
            </a:rPr>
            <a:t>Prof. Andrea QUINTILIANI</a:t>
          </a:r>
        </a:p>
        <a:p>
          <a:pPr algn="l" rtl="0">
            <a:lnSpc>
              <a:spcPts val="1000"/>
            </a:lnSpc>
            <a:defRPr sz="1000"/>
          </a:pPr>
          <a:endParaRPr lang="it-IT" sz="1000" b="0" i="0" baseline="0">
            <a:latin typeface="Arial" pitchFamily="34" charset="0"/>
            <a:ea typeface="+mn-ea"/>
            <a:cs typeface="Arial" pitchFamily="34" charset="0"/>
          </a:endParaRPr>
        </a:p>
        <a:p>
          <a:pPr algn="l" rtl="0">
            <a:lnSpc>
              <a:spcPts val="1000"/>
            </a:lnSpc>
            <a:defRPr sz="1000"/>
          </a:pPr>
          <a:r>
            <a:rPr lang="it-IT" sz="1000" b="1" i="0" baseline="0">
              <a:solidFill>
                <a:srgbClr val="C00000"/>
              </a:solidFill>
              <a:latin typeface="Arial" pitchFamily="34" charset="0"/>
              <a:ea typeface="+mn-ea"/>
              <a:cs typeface="Arial" pitchFamily="34" charset="0"/>
            </a:rPr>
            <a:t>INFORMATION NOTE</a:t>
          </a:r>
          <a:r>
            <a:rPr lang="it-IT" sz="1000" b="1" i="0" baseline="-25000">
              <a:solidFill>
                <a:srgbClr val="C00000"/>
              </a:solidFill>
              <a:latin typeface="Arial" pitchFamily="34" charset="0"/>
              <a:ea typeface="+mn-ea"/>
              <a:cs typeface="Arial" pitchFamily="34" charset="0"/>
            </a:rPr>
            <a:t>1</a:t>
          </a:r>
          <a:r>
            <a:rPr lang="it-IT" sz="1000" b="0" i="0" baseline="0">
              <a:solidFill>
                <a:srgbClr val="C00000"/>
              </a:solidFill>
              <a:latin typeface="Arial" pitchFamily="34" charset="0"/>
              <a:ea typeface="+mn-ea"/>
              <a:cs typeface="Arial" pitchFamily="34" charset="0"/>
            </a:rPr>
            <a:t>: </a:t>
          </a:r>
          <a:r>
            <a:rPr lang="it-IT" sz="1000" b="1" i="0" u="sng" baseline="0">
              <a:solidFill>
                <a:srgbClr val="C00000"/>
              </a:solidFill>
              <a:latin typeface="Arial" pitchFamily="34" charset="0"/>
              <a:ea typeface="+mn-ea"/>
              <a:cs typeface="Arial" pitchFamily="34" charset="0"/>
            </a:rPr>
            <a:t>THE STUDENT is asked to enter the data only in the "INPUT" sheet</a:t>
          </a:r>
          <a:r>
            <a:rPr lang="it-IT" sz="1000" b="0" i="0" baseline="0">
              <a:solidFill>
                <a:srgbClr val="C00000"/>
              </a:solidFill>
              <a:latin typeface="Arial" pitchFamily="34" charset="0"/>
              <a:ea typeface="+mn-ea"/>
              <a:cs typeface="Arial" pitchFamily="34" charset="0"/>
            </a:rPr>
            <a:t>; Many worksheets are password protected. The author reserves the right to provide, with his authorization, the password to remove protections.</a:t>
          </a:r>
        </a:p>
        <a:p>
          <a:pPr algn="l" rtl="0">
            <a:lnSpc>
              <a:spcPts val="1000"/>
            </a:lnSpc>
            <a:defRPr sz="1000"/>
          </a:pPr>
          <a:endParaRPr lang="it-IT" sz="1000" b="0" i="0" baseline="0">
            <a:solidFill>
              <a:srgbClr val="C00000"/>
            </a:solidFill>
            <a:latin typeface="Arial" pitchFamily="34" charset="0"/>
            <a:ea typeface="+mn-ea"/>
            <a:cs typeface="Arial" pitchFamily="34" charset="0"/>
          </a:endParaRPr>
        </a:p>
        <a:p>
          <a:pPr algn="l" rtl="0">
            <a:lnSpc>
              <a:spcPts val="1000"/>
            </a:lnSpc>
            <a:defRPr sz="1000"/>
          </a:pPr>
          <a:r>
            <a:rPr lang="it-IT" sz="1000" b="1" i="0" baseline="0">
              <a:solidFill>
                <a:srgbClr val="C00000"/>
              </a:solidFill>
              <a:latin typeface="Arial" pitchFamily="34" charset="0"/>
              <a:ea typeface="+mn-ea"/>
              <a:cs typeface="Arial" pitchFamily="34" charset="0"/>
            </a:rPr>
            <a:t>INFORMATION NOTE</a:t>
          </a:r>
          <a:r>
            <a:rPr lang="it-IT" sz="1000" b="1" i="0" baseline="-25000">
              <a:solidFill>
                <a:srgbClr val="C00000"/>
              </a:solidFill>
              <a:latin typeface="Arial" pitchFamily="34" charset="0"/>
              <a:ea typeface="+mn-ea"/>
              <a:cs typeface="Arial" pitchFamily="34" charset="0"/>
            </a:rPr>
            <a:t>2</a:t>
          </a:r>
          <a:r>
            <a:rPr lang="it-IT" sz="1000" b="0" i="0" baseline="0">
              <a:solidFill>
                <a:srgbClr val="C00000"/>
              </a:solidFill>
              <a:latin typeface="Arial" pitchFamily="34" charset="0"/>
              <a:ea typeface="+mn-ea"/>
              <a:cs typeface="Arial" pitchFamily="34" charset="0"/>
            </a:rPr>
            <a:t>: This simulation, for reasons of simplicity and because it goes beyond the scope of the application, does not consider inventories.</a:t>
          </a:r>
          <a:endParaRPr lang="it-IT" sz="1000" b="0" i="0" strike="noStrike" baseline="0">
            <a:solidFill>
              <a:srgbClr val="C00000"/>
            </a:solidFill>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12700</xdr:colOff>
      <xdr:row>8</xdr:row>
      <xdr:rowOff>31750</xdr:rowOff>
    </xdr:from>
    <xdr:to>
      <xdr:col>18</xdr:col>
      <xdr:colOff>628650</xdr:colOff>
      <xdr:row>28</xdr:row>
      <xdr:rowOff>0</xdr:rowOff>
    </xdr:to>
    <xdr:graphicFrame macro="">
      <xdr:nvGraphicFramePr>
        <xdr:cNvPr id="1344" name="Chart 1">
          <a:extLst>
            <a:ext uri="{FF2B5EF4-FFF2-40B4-BE49-F238E27FC236}">
              <a16:creationId xmlns:a16="http://schemas.microsoft.com/office/drawing/2014/main" id="{97C1974B-B80D-EEA1-A246-12FB662E5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44</xdr:row>
      <xdr:rowOff>0</xdr:rowOff>
    </xdr:from>
    <xdr:to>
      <xdr:col>19</xdr:col>
      <xdr:colOff>31750</xdr:colOff>
      <xdr:row>44</xdr:row>
      <xdr:rowOff>0</xdr:rowOff>
    </xdr:to>
    <xdr:graphicFrame macro="">
      <xdr:nvGraphicFramePr>
        <xdr:cNvPr id="1345" name="Chart 3">
          <a:extLst>
            <a:ext uri="{FF2B5EF4-FFF2-40B4-BE49-F238E27FC236}">
              <a16:creationId xmlns:a16="http://schemas.microsoft.com/office/drawing/2014/main" id="{20D5DFF4-E33D-E731-B085-66C9BD1A7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44</xdr:row>
      <xdr:rowOff>0</xdr:rowOff>
    </xdr:from>
    <xdr:to>
      <xdr:col>18</xdr:col>
      <xdr:colOff>609600</xdr:colOff>
      <xdr:row>44</xdr:row>
      <xdr:rowOff>0</xdr:rowOff>
    </xdr:to>
    <xdr:graphicFrame macro="">
      <xdr:nvGraphicFramePr>
        <xdr:cNvPr id="1346" name="Chart 4">
          <a:extLst>
            <a:ext uri="{FF2B5EF4-FFF2-40B4-BE49-F238E27FC236}">
              <a16:creationId xmlns:a16="http://schemas.microsoft.com/office/drawing/2014/main" id="{F310A5F6-D39B-A32A-15E4-2F3D0B6DF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38100</xdr:colOff>
      <xdr:row>44</xdr:row>
      <xdr:rowOff>0</xdr:rowOff>
    </xdr:from>
    <xdr:to>
      <xdr:col>19</xdr:col>
      <xdr:colOff>12700</xdr:colOff>
      <xdr:row>44</xdr:row>
      <xdr:rowOff>0</xdr:rowOff>
    </xdr:to>
    <xdr:graphicFrame macro="">
      <xdr:nvGraphicFramePr>
        <xdr:cNvPr id="1347" name="Chart 5">
          <a:extLst>
            <a:ext uri="{FF2B5EF4-FFF2-40B4-BE49-F238E27FC236}">
              <a16:creationId xmlns:a16="http://schemas.microsoft.com/office/drawing/2014/main" id="{67A57BED-2FF9-BE2A-0853-B83D1CCF2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44</xdr:row>
      <xdr:rowOff>0</xdr:rowOff>
    </xdr:from>
    <xdr:to>
      <xdr:col>18</xdr:col>
      <xdr:colOff>596900</xdr:colOff>
      <xdr:row>44</xdr:row>
      <xdr:rowOff>0</xdr:rowOff>
    </xdr:to>
    <xdr:graphicFrame macro="">
      <xdr:nvGraphicFramePr>
        <xdr:cNvPr id="1348" name="Chart 6">
          <a:extLst>
            <a:ext uri="{FF2B5EF4-FFF2-40B4-BE49-F238E27FC236}">
              <a16:creationId xmlns:a16="http://schemas.microsoft.com/office/drawing/2014/main" id="{C817F249-0301-D12B-0492-CDE2210D8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44</xdr:row>
      <xdr:rowOff>0</xdr:rowOff>
    </xdr:from>
    <xdr:to>
      <xdr:col>18</xdr:col>
      <xdr:colOff>628650</xdr:colOff>
      <xdr:row>44</xdr:row>
      <xdr:rowOff>0</xdr:rowOff>
    </xdr:to>
    <xdr:graphicFrame macro="">
      <xdr:nvGraphicFramePr>
        <xdr:cNvPr id="1349" name="Chart 7">
          <a:extLst>
            <a:ext uri="{FF2B5EF4-FFF2-40B4-BE49-F238E27FC236}">
              <a16:creationId xmlns:a16="http://schemas.microsoft.com/office/drawing/2014/main" id="{77F6617F-0677-529E-17A3-D1507C7E7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12700</xdr:colOff>
      <xdr:row>8</xdr:row>
      <xdr:rowOff>31750</xdr:rowOff>
    </xdr:from>
    <xdr:to>
      <xdr:col>18</xdr:col>
      <xdr:colOff>628650</xdr:colOff>
      <xdr:row>28</xdr:row>
      <xdr:rowOff>0</xdr:rowOff>
    </xdr:to>
    <xdr:graphicFrame macro="">
      <xdr:nvGraphicFramePr>
        <xdr:cNvPr id="12925" name="Chart 1">
          <a:extLst>
            <a:ext uri="{FF2B5EF4-FFF2-40B4-BE49-F238E27FC236}">
              <a16:creationId xmlns:a16="http://schemas.microsoft.com/office/drawing/2014/main" id="{B8B7FDCD-F0D2-C96E-4BAE-B0B9B6BA8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43</xdr:row>
      <xdr:rowOff>0</xdr:rowOff>
    </xdr:from>
    <xdr:to>
      <xdr:col>19</xdr:col>
      <xdr:colOff>31750</xdr:colOff>
      <xdr:row>43</xdr:row>
      <xdr:rowOff>0</xdr:rowOff>
    </xdr:to>
    <xdr:graphicFrame macro="">
      <xdr:nvGraphicFramePr>
        <xdr:cNvPr id="12926" name="Chart 2">
          <a:extLst>
            <a:ext uri="{FF2B5EF4-FFF2-40B4-BE49-F238E27FC236}">
              <a16:creationId xmlns:a16="http://schemas.microsoft.com/office/drawing/2014/main" id="{E82D473D-E911-09DC-C750-EE4C7C658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43</xdr:row>
      <xdr:rowOff>0</xdr:rowOff>
    </xdr:from>
    <xdr:to>
      <xdr:col>18</xdr:col>
      <xdr:colOff>609600</xdr:colOff>
      <xdr:row>43</xdr:row>
      <xdr:rowOff>0</xdr:rowOff>
    </xdr:to>
    <xdr:graphicFrame macro="">
      <xdr:nvGraphicFramePr>
        <xdr:cNvPr id="12927" name="Chart 3">
          <a:extLst>
            <a:ext uri="{FF2B5EF4-FFF2-40B4-BE49-F238E27FC236}">
              <a16:creationId xmlns:a16="http://schemas.microsoft.com/office/drawing/2014/main" id="{1D1671B2-48C6-4825-FC08-B1AF03059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38100</xdr:colOff>
      <xdr:row>43</xdr:row>
      <xdr:rowOff>0</xdr:rowOff>
    </xdr:from>
    <xdr:to>
      <xdr:col>19</xdr:col>
      <xdr:colOff>12700</xdr:colOff>
      <xdr:row>43</xdr:row>
      <xdr:rowOff>0</xdr:rowOff>
    </xdr:to>
    <xdr:graphicFrame macro="">
      <xdr:nvGraphicFramePr>
        <xdr:cNvPr id="12928" name="Chart 4">
          <a:extLst>
            <a:ext uri="{FF2B5EF4-FFF2-40B4-BE49-F238E27FC236}">
              <a16:creationId xmlns:a16="http://schemas.microsoft.com/office/drawing/2014/main" id="{8D83F57D-59BD-7C0C-0739-64A9D4929C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43</xdr:row>
      <xdr:rowOff>0</xdr:rowOff>
    </xdr:from>
    <xdr:to>
      <xdr:col>18</xdr:col>
      <xdr:colOff>596900</xdr:colOff>
      <xdr:row>43</xdr:row>
      <xdr:rowOff>0</xdr:rowOff>
    </xdr:to>
    <xdr:graphicFrame macro="">
      <xdr:nvGraphicFramePr>
        <xdr:cNvPr id="12929" name="Chart 5">
          <a:extLst>
            <a:ext uri="{FF2B5EF4-FFF2-40B4-BE49-F238E27FC236}">
              <a16:creationId xmlns:a16="http://schemas.microsoft.com/office/drawing/2014/main" id="{AE24EDE3-0274-AC2F-8BB1-F578DEA19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43</xdr:row>
      <xdr:rowOff>0</xdr:rowOff>
    </xdr:from>
    <xdr:to>
      <xdr:col>18</xdr:col>
      <xdr:colOff>628650</xdr:colOff>
      <xdr:row>43</xdr:row>
      <xdr:rowOff>0</xdr:rowOff>
    </xdr:to>
    <xdr:graphicFrame macro="">
      <xdr:nvGraphicFramePr>
        <xdr:cNvPr id="12930" name="Chart 6">
          <a:extLst>
            <a:ext uri="{FF2B5EF4-FFF2-40B4-BE49-F238E27FC236}">
              <a16:creationId xmlns:a16="http://schemas.microsoft.com/office/drawing/2014/main" id="{31B232B5-603B-6EA7-CED4-DA2BF11DE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57</xdr:row>
      <xdr:rowOff>31750</xdr:rowOff>
    </xdr:from>
    <xdr:to>
      <xdr:col>18</xdr:col>
      <xdr:colOff>628650</xdr:colOff>
      <xdr:row>77</xdr:row>
      <xdr:rowOff>0</xdr:rowOff>
    </xdr:to>
    <xdr:graphicFrame macro="">
      <xdr:nvGraphicFramePr>
        <xdr:cNvPr id="12931" name="Chart 7">
          <a:extLst>
            <a:ext uri="{FF2B5EF4-FFF2-40B4-BE49-F238E27FC236}">
              <a16:creationId xmlns:a16="http://schemas.microsoft.com/office/drawing/2014/main" id="{5AD17374-429D-3307-F607-4548D909B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92</xdr:row>
      <xdr:rowOff>0</xdr:rowOff>
    </xdr:from>
    <xdr:to>
      <xdr:col>19</xdr:col>
      <xdr:colOff>31750</xdr:colOff>
      <xdr:row>92</xdr:row>
      <xdr:rowOff>0</xdr:rowOff>
    </xdr:to>
    <xdr:graphicFrame macro="">
      <xdr:nvGraphicFramePr>
        <xdr:cNvPr id="12932" name="Chart 8">
          <a:extLst>
            <a:ext uri="{FF2B5EF4-FFF2-40B4-BE49-F238E27FC236}">
              <a16:creationId xmlns:a16="http://schemas.microsoft.com/office/drawing/2014/main" id="{0296C233-CC6D-2634-A35F-3F2DD4E1E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92</xdr:row>
      <xdr:rowOff>0</xdr:rowOff>
    </xdr:from>
    <xdr:to>
      <xdr:col>18</xdr:col>
      <xdr:colOff>609600</xdr:colOff>
      <xdr:row>92</xdr:row>
      <xdr:rowOff>0</xdr:rowOff>
    </xdr:to>
    <xdr:graphicFrame macro="">
      <xdr:nvGraphicFramePr>
        <xdr:cNvPr id="12933" name="Chart 9">
          <a:extLst>
            <a:ext uri="{FF2B5EF4-FFF2-40B4-BE49-F238E27FC236}">
              <a16:creationId xmlns:a16="http://schemas.microsoft.com/office/drawing/2014/main" id="{640966B0-1D41-F0F7-95C6-2ED1A64F1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38100</xdr:colOff>
      <xdr:row>92</xdr:row>
      <xdr:rowOff>0</xdr:rowOff>
    </xdr:from>
    <xdr:to>
      <xdr:col>19</xdr:col>
      <xdr:colOff>12700</xdr:colOff>
      <xdr:row>92</xdr:row>
      <xdr:rowOff>0</xdr:rowOff>
    </xdr:to>
    <xdr:graphicFrame macro="">
      <xdr:nvGraphicFramePr>
        <xdr:cNvPr id="12934" name="Chart 10">
          <a:extLst>
            <a:ext uri="{FF2B5EF4-FFF2-40B4-BE49-F238E27FC236}">
              <a16:creationId xmlns:a16="http://schemas.microsoft.com/office/drawing/2014/main" id="{121FE9C0-F351-3982-743B-CA754152C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92</xdr:row>
      <xdr:rowOff>0</xdr:rowOff>
    </xdr:from>
    <xdr:to>
      <xdr:col>18</xdr:col>
      <xdr:colOff>596900</xdr:colOff>
      <xdr:row>92</xdr:row>
      <xdr:rowOff>0</xdr:rowOff>
    </xdr:to>
    <xdr:graphicFrame macro="">
      <xdr:nvGraphicFramePr>
        <xdr:cNvPr id="12935" name="Chart 11">
          <a:extLst>
            <a:ext uri="{FF2B5EF4-FFF2-40B4-BE49-F238E27FC236}">
              <a16:creationId xmlns:a16="http://schemas.microsoft.com/office/drawing/2014/main" id="{2CE4B904-3894-AFB5-9615-E1C20E079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92</xdr:row>
      <xdr:rowOff>0</xdr:rowOff>
    </xdr:from>
    <xdr:to>
      <xdr:col>18</xdr:col>
      <xdr:colOff>628650</xdr:colOff>
      <xdr:row>92</xdr:row>
      <xdr:rowOff>0</xdr:rowOff>
    </xdr:to>
    <xdr:graphicFrame macro="">
      <xdr:nvGraphicFramePr>
        <xdr:cNvPr id="12936" name="Chart 12">
          <a:extLst>
            <a:ext uri="{FF2B5EF4-FFF2-40B4-BE49-F238E27FC236}">
              <a16:creationId xmlns:a16="http://schemas.microsoft.com/office/drawing/2014/main" id="{8EFEF5A0-3C85-CFDD-93A1-A401079FF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8</xdr:row>
      <xdr:rowOff>0</xdr:rowOff>
    </xdr:from>
    <xdr:to>
      <xdr:col>19</xdr:col>
      <xdr:colOff>12700</xdr:colOff>
      <xdr:row>25</xdr:row>
      <xdr:rowOff>63500</xdr:rowOff>
    </xdr:to>
    <xdr:graphicFrame macro="">
      <xdr:nvGraphicFramePr>
        <xdr:cNvPr id="11583" name="Chart 1">
          <a:extLst>
            <a:ext uri="{FF2B5EF4-FFF2-40B4-BE49-F238E27FC236}">
              <a16:creationId xmlns:a16="http://schemas.microsoft.com/office/drawing/2014/main" id="{8685B306-59FE-9488-8A65-00419F4D7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42</xdr:row>
      <xdr:rowOff>0</xdr:rowOff>
    </xdr:from>
    <xdr:to>
      <xdr:col>18</xdr:col>
      <xdr:colOff>609600</xdr:colOff>
      <xdr:row>42</xdr:row>
      <xdr:rowOff>0</xdr:rowOff>
    </xdr:to>
    <xdr:graphicFrame macro="">
      <xdr:nvGraphicFramePr>
        <xdr:cNvPr id="11584" name="Chart 2">
          <a:extLst>
            <a:ext uri="{FF2B5EF4-FFF2-40B4-BE49-F238E27FC236}">
              <a16:creationId xmlns:a16="http://schemas.microsoft.com/office/drawing/2014/main" id="{C85B505D-EF13-B65B-3782-A225FB8FA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42</xdr:row>
      <xdr:rowOff>0</xdr:rowOff>
    </xdr:from>
    <xdr:to>
      <xdr:col>19</xdr:col>
      <xdr:colOff>38100</xdr:colOff>
      <xdr:row>42</xdr:row>
      <xdr:rowOff>0</xdr:rowOff>
    </xdr:to>
    <xdr:graphicFrame macro="">
      <xdr:nvGraphicFramePr>
        <xdr:cNvPr id="11585" name="Chart 3">
          <a:extLst>
            <a:ext uri="{FF2B5EF4-FFF2-40B4-BE49-F238E27FC236}">
              <a16:creationId xmlns:a16="http://schemas.microsoft.com/office/drawing/2014/main" id="{ECC1EB98-F616-C725-0F4E-9924CEA2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42</xdr:row>
      <xdr:rowOff>0</xdr:rowOff>
    </xdr:from>
    <xdr:to>
      <xdr:col>18</xdr:col>
      <xdr:colOff>628650</xdr:colOff>
      <xdr:row>42</xdr:row>
      <xdr:rowOff>0</xdr:rowOff>
    </xdr:to>
    <xdr:graphicFrame macro="">
      <xdr:nvGraphicFramePr>
        <xdr:cNvPr id="11586" name="Chart 4">
          <a:extLst>
            <a:ext uri="{FF2B5EF4-FFF2-40B4-BE49-F238E27FC236}">
              <a16:creationId xmlns:a16="http://schemas.microsoft.com/office/drawing/2014/main" id="{43BFBB77-A9D0-EB29-1CF2-EDF17B940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42</xdr:row>
      <xdr:rowOff>0</xdr:rowOff>
    </xdr:from>
    <xdr:to>
      <xdr:col>18</xdr:col>
      <xdr:colOff>609600</xdr:colOff>
      <xdr:row>42</xdr:row>
      <xdr:rowOff>0</xdr:rowOff>
    </xdr:to>
    <xdr:graphicFrame macro="">
      <xdr:nvGraphicFramePr>
        <xdr:cNvPr id="11587" name="Chart 5">
          <a:extLst>
            <a:ext uri="{FF2B5EF4-FFF2-40B4-BE49-F238E27FC236}">
              <a16:creationId xmlns:a16="http://schemas.microsoft.com/office/drawing/2014/main" id="{F89A796E-3BF7-4954-DC33-4158AB34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50800</xdr:colOff>
      <xdr:row>42</xdr:row>
      <xdr:rowOff>0</xdr:rowOff>
    </xdr:from>
    <xdr:to>
      <xdr:col>18</xdr:col>
      <xdr:colOff>628650</xdr:colOff>
      <xdr:row>42</xdr:row>
      <xdr:rowOff>0</xdr:rowOff>
    </xdr:to>
    <xdr:graphicFrame macro="">
      <xdr:nvGraphicFramePr>
        <xdr:cNvPr id="11588" name="Chart 6">
          <a:extLst>
            <a:ext uri="{FF2B5EF4-FFF2-40B4-BE49-F238E27FC236}">
              <a16:creationId xmlns:a16="http://schemas.microsoft.com/office/drawing/2014/main" id="{B8136423-FAF0-4A85-11CF-E4D63E3D1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12700</xdr:colOff>
      <xdr:row>8</xdr:row>
      <xdr:rowOff>31750</xdr:rowOff>
    </xdr:from>
    <xdr:to>
      <xdr:col>18</xdr:col>
      <xdr:colOff>628650</xdr:colOff>
      <xdr:row>28</xdr:row>
      <xdr:rowOff>0</xdr:rowOff>
    </xdr:to>
    <xdr:graphicFrame macro="">
      <xdr:nvGraphicFramePr>
        <xdr:cNvPr id="13949" name="Chart 1">
          <a:extLst>
            <a:ext uri="{FF2B5EF4-FFF2-40B4-BE49-F238E27FC236}">
              <a16:creationId xmlns:a16="http://schemas.microsoft.com/office/drawing/2014/main" id="{5C3FA535-569F-8F88-5B58-FF7587DFE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43</xdr:row>
      <xdr:rowOff>0</xdr:rowOff>
    </xdr:from>
    <xdr:to>
      <xdr:col>19</xdr:col>
      <xdr:colOff>31750</xdr:colOff>
      <xdr:row>43</xdr:row>
      <xdr:rowOff>0</xdr:rowOff>
    </xdr:to>
    <xdr:graphicFrame macro="">
      <xdr:nvGraphicFramePr>
        <xdr:cNvPr id="13950" name="Chart 2">
          <a:extLst>
            <a:ext uri="{FF2B5EF4-FFF2-40B4-BE49-F238E27FC236}">
              <a16:creationId xmlns:a16="http://schemas.microsoft.com/office/drawing/2014/main" id="{5366D293-9979-B5D9-6868-18BE515B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43</xdr:row>
      <xdr:rowOff>0</xdr:rowOff>
    </xdr:from>
    <xdr:to>
      <xdr:col>18</xdr:col>
      <xdr:colOff>609600</xdr:colOff>
      <xdr:row>43</xdr:row>
      <xdr:rowOff>0</xdr:rowOff>
    </xdr:to>
    <xdr:graphicFrame macro="">
      <xdr:nvGraphicFramePr>
        <xdr:cNvPr id="13951" name="Chart 3">
          <a:extLst>
            <a:ext uri="{FF2B5EF4-FFF2-40B4-BE49-F238E27FC236}">
              <a16:creationId xmlns:a16="http://schemas.microsoft.com/office/drawing/2014/main" id="{6B58FB2B-A8ED-748C-4368-F209EACC5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38100</xdr:colOff>
      <xdr:row>43</xdr:row>
      <xdr:rowOff>0</xdr:rowOff>
    </xdr:from>
    <xdr:to>
      <xdr:col>19</xdr:col>
      <xdr:colOff>12700</xdr:colOff>
      <xdr:row>43</xdr:row>
      <xdr:rowOff>0</xdr:rowOff>
    </xdr:to>
    <xdr:graphicFrame macro="">
      <xdr:nvGraphicFramePr>
        <xdr:cNvPr id="13952" name="Chart 4">
          <a:extLst>
            <a:ext uri="{FF2B5EF4-FFF2-40B4-BE49-F238E27FC236}">
              <a16:creationId xmlns:a16="http://schemas.microsoft.com/office/drawing/2014/main" id="{77598A47-5659-3F69-D1B7-4A31E6FDE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43</xdr:row>
      <xdr:rowOff>0</xdr:rowOff>
    </xdr:from>
    <xdr:to>
      <xdr:col>18</xdr:col>
      <xdr:colOff>596900</xdr:colOff>
      <xdr:row>43</xdr:row>
      <xdr:rowOff>0</xdr:rowOff>
    </xdr:to>
    <xdr:graphicFrame macro="">
      <xdr:nvGraphicFramePr>
        <xdr:cNvPr id="13953" name="Chart 5">
          <a:extLst>
            <a:ext uri="{FF2B5EF4-FFF2-40B4-BE49-F238E27FC236}">
              <a16:creationId xmlns:a16="http://schemas.microsoft.com/office/drawing/2014/main" id="{38146115-8FB5-1499-D29C-CEAF806B2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43</xdr:row>
      <xdr:rowOff>0</xdr:rowOff>
    </xdr:from>
    <xdr:to>
      <xdr:col>18</xdr:col>
      <xdr:colOff>628650</xdr:colOff>
      <xdr:row>43</xdr:row>
      <xdr:rowOff>0</xdr:rowOff>
    </xdr:to>
    <xdr:graphicFrame macro="">
      <xdr:nvGraphicFramePr>
        <xdr:cNvPr id="13954" name="Chart 6">
          <a:extLst>
            <a:ext uri="{FF2B5EF4-FFF2-40B4-BE49-F238E27FC236}">
              <a16:creationId xmlns:a16="http://schemas.microsoft.com/office/drawing/2014/main" id="{B195412A-0E69-CEB7-81F7-04CFDF5F0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57</xdr:row>
      <xdr:rowOff>31750</xdr:rowOff>
    </xdr:from>
    <xdr:to>
      <xdr:col>18</xdr:col>
      <xdr:colOff>628650</xdr:colOff>
      <xdr:row>77</xdr:row>
      <xdr:rowOff>0</xdr:rowOff>
    </xdr:to>
    <xdr:graphicFrame macro="">
      <xdr:nvGraphicFramePr>
        <xdr:cNvPr id="13955" name="Chart 7">
          <a:extLst>
            <a:ext uri="{FF2B5EF4-FFF2-40B4-BE49-F238E27FC236}">
              <a16:creationId xmlns:a16="http://schemas.microsoft.com/office/drawing/2014/main" id="{C3E2F79A-46FE-2CC2-2BE2-53AFCF658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93</xdr:row>
      <xdr:rowOff>0</xdr:rowOff>
    </xdr:from>
    <xdr:to>
      <xdr:col>19</xdr:col>
      <xdr:colOff>31750</xdr:colOff>
      <xdr:row>93</xdr:row>
      <xdr:rowOff>0</xdr:rowOff>
    </xdr:to>
    <xdr:graphicFrame macro="">
      <xdr:nvGraphicFramePr>
        <xdr:cNvPr id="13956" name="Chart 8">
          <a:extLst>
            <a:ext uri="{FF2B5EF4-FFF2-40B4-BE49-F238E27FC236}">
              <a16:creationId xmlns:a16="http://schemas.microsoft.com/office/drawing/2014/main" id="{2C6A18B2-9965-B6DA-E996-EF18F0973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93</xdr:row>
      <xdr:rowOff>0</xdr:rowOff>
    </xdr:from>
    <xdr:to>
      <xdr:col>18</xdr:col>
      <xdr:colOff>609600</xdr:colOff>
      <xdr:row>93</xdr:row>
      <xdr:rowOff>0</xdr:rowOff>
    </xdr:to>
    <xdr:graphicFrame macro="">
      <xdr:nvGraphicFramePr>
        <xdr:cNvPr id="13957" name="Chart 9">
          <a:extLst>
            <a:ext uri="{FF2B5EF4-FFF2-40B4-BE49-F238E27FC236}">
              <a16:creationId xmlns:a16="http://schemas.microsoft.com/office/drawing/2014/main" id="{17C5B375-EEE0-4A12-E29F-5E758FADE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38100</xdr:colOff>
      <xdr:row>93</xdr:row>
      <xdr:rowOff>0</xdr:rowOff>
    </xdr:from>
    <xdr:to>
      <xdr:col>19</xdr:col>
      <xdr:colOff>12700</xdr:colOff>
      <xdr:row>93</xdr:row>
      <xdr:rowOff>0</xdr:rowOff>
    </xdr:to>
    <xdr:graphicFrame macro="">
      <xdr:nvGraphicFramePr>
        <xdr:cNvPr id="13958" name="Chart 10">
          <a:extLst>
            <a:ext uri="{FF2B5EF4-FFF2-40B4-BE49-F238E27FC236}">
              <a16:creationId xmlns:a16="http://schemas.microsoft.com/office/drawing/2014/main" id="{28A4AFBD-44CE-9D63-7F78-75965E6E8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93</xdr:row>
      <xdr:rowOff>0</xdr:rowOff>
    </xdr:from>
    <xdr:to>
      <xdr:col>18</xdr:col>
      <xdr:colOff>596900</xdr:colOff>
      <xdr:row>93</xdr:row>
      <xdr:rowOff>0</xdr:rowOff>
    </xdr:to>
    <xdr:graphicFrame macro="">
      <xdr:nvGraphicFramePr>
        <xdr:cNvPr id="13959" name="Chart 11">
          <a:extLst>
            <a:ext uri="{FF2B5EF4-FFF2-40B4-BE49-F238E27FC236}">
              <a16:creationId xmlns:a16="http://schemas.microsoft.com/office/drawing/2014/main" id="{8AEAAFCE-E92F-2756-F294-BAE0E381E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93</xdr:row>
      <xdr:rowOff>0</xdr:rowOff>
    </xdr:from>
    <xdr:to>
      <xdr:col>18</xdr:col>
      <xdr:colOff>628650</xdr:colOff>
      <xdr:row>93</xdr:row>
      <xdr:rowOff>0</xdr:rowOff>
    </xdr:to>
    <xdr:graphicFrame macro="">
      <xdr:nvGraphicFramePr>
        <xdr:cNvPr id="13960" name="Chart 12">
          <a:extLst>
            <a:ext uri="{FF2B5EF4-FFF2-40B4-BE49-F238E27FC236}">
              <a16:creationId xmlns:a16="http://schemas.microsoft.com/office/drawing/2014/main" id="{0EB58FB9-5ECC-F54B-239B-B116B78F5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tente/Documenti/ILO_StartCup/ILO_Formazione_BP/Definitivo%20ILO_consegnato%20ai%20ragazzi/Start%20cup%202007_SoftwareBP_A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DMINI~1/IMPOST~1/Temp/2magg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modina/Documents/Documenti_Michele/Works%20in%20progress/Leam_2007/Elaborati/Modina_AndreaQ/Works%20in%20progress/Leam/Users/zubbermen/Desktop/Valtenesi_srl_AnalisiBilancio_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TEMP/Molise_Tour_02-03_finanzamenti.temp.zip/WINDOWS/Desktop/FINANZA-MINGUZZI/eudora/attach/BE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Menu"/>
      <sheetName val="PRESENTAZIONE"/>
      <sheetName val="-------"/>
      <sheetName val="Copertina1"/>
      <sheetName val="Mercati"/>
      <sheetName val="Competitors"/>
      <sheetName val="Concorrenti_ProdottoB"/>
      <sheetName val="Concorrenti_ProdottoA"/>
      <sheetName val="Concorrenti_ProdottoC"/>
      <sheetName val="Concorrenti_ProdottoD"/>
      <sheetName val="Concorrenti_ProdottoE"/>
      <sheetName val="Clienti"/>
      <sheetName val="Sintesi"/>
      <sheetName val="Mappa"/>
      <sheetName val="---------"/>
      <sheetName val="Copertina 2"/>
      <sheetName val="Istruzioni"/>
      <sheetName val="Industry Matrix"/>
      <sheetName val="Analisi settore"/>
      <sheetName val="Organizational Analysis"/>
      <sheetName val="SFAS Matrix"/>
      <sheetName val="TOWS Matrix"/>
      <sheetName val="Possibili strategie"/>
      <sheetName val="----------"/>
      <sheetName val="Copertina 3"/>
      <sheetName val="Istruzioni "/>
      <sheetName val="Attrattività settore"/>
      <sheetName val="Posizione competitiva"/>
      <sheetName val="Opzioni strategiche"/>
      <sheetName val="---------- "/>
      <sheetName val="Copertina 4"/>
      <sheetName val="MKT.XLS"/>
      <sheetName val="PROD.XLS"/>
      <sheetName val="STRUTT.XLS"/>
      <sheetName val="PERS.XLS"/>
      <sheetName val="INV.XLS"/>
      <sheetName val="LEASING.XLS"/>
      <sheetName val="P_ECOFIN.XLS"/>
      <sheetName val="--------"/>
      <sheetName val="Copertina 5"/>
      <sheetName val="2 - Schema CEE"/>
      <sheetName val="2a - Informazioni Integrative"/>
      <sheetName val="3 - SP Fin"/>
      <sheetName val="3 - SP Gest"/>
      <sheetName val="4 - CE_CV"/>
      <sheetName val="4 - CE_VA"/>
      <sheetName val="5a - Cash Flow"/>
      <sheetName val="5b - Cash Flow"/>
      <sheetName val="5c - Fund Flow"/>
      <sheetName val="6 - Indici_CashFlow"/>
      <sheetName val="6a - Indici"/>
      <sheetName val="6b - Indici"/>
      <sheetName val="6c - DuPont)"/>
      <sheetName val="6d - Grandezze"/>
      <sheetName val="6e - fabbisogno"/>
      <sheetName val="6f - Leva finanziaria"/>
      <sheetName val="6f - Grafico L.F."/>
      <sheetName val="6f - Grafico L.O"/>
      <sheetName val="6g - BEA "/>
      <sheetName val="6g - Grafico BEA1"/>
      <sheetName val="6g - Grafico BEA2"/>
      <sheetName val="6g - BEA t=1"/>
      <sheetName val="6g - BEA t=2"/>
      <sheetName val="6g- BEA t=3"/>
      <sheetName val="6g - BEA t=4"/>
      <sheetName val="6g - BEA t=5"/>
      <sheetName val="7 - Confronto Dati Settore"/>
      <sheetName val="7a - Confonto Dati Set_Grafici"/>
      <sheetName val="8 - Analisi Orizzontale"/>
      <sheetName val="9 - Analisi Verticale"/>
      <sheetName val="10 - Fatturato"/>
      <sheetName val="10a - Fatturato_Grafico"/>
      <sheetName val="11 - Risultato"/>
      <sheetName val="12 - Costi"/>
      <sheetName val="13 - Struttura"/>
      <sheetName val="13a - Struttura_Grafico1"/>
      <sheetName val="13a - Struttura_Grafico2"/>
      <sheetName val="14 - Immobilizzazioni"/>
      <sheetName val="15- CCN"/>
      <sheetName val="16 - PFN"/>
      <sheetName val="16a - PFN_Grafico"/>
      <sheetName val="17 - EBITDAsuVAL"/>
      <sheetName val="17a - EBITDAsuVAL_Grafico"/>
      <sheetName val="&lt;----&gt; "/>
      <sheetName val="Copertina 6"/>
      <sheetName val="18 - Best Practices"/>
      <sheetName val="19 - Scoring"/>
      <sheetName val="20 - Scala Master"/>
      <sheetName val="20b - Scala Master con indic_CF"/>
      <sheetName val="21 - Pre-rating"/>
      <sheetName val="21b - Pre-rating con indic_CF"/>
      <sheetName val="22 - Evidenze"/>
      <sheetName val="&lt;--------&gt;"/>
      <sheetName val="Copertina 7"/>
      <sheetName val="23a - Altman_t=1"/>
      <sheetName val="23b - Altman_t=2"/>
      <sheetName val="23c - Altman_t=3"/>
      <sheetName val="23d - Altman_t=4"/>
      <sheetName val="23e - Altman_t=5"/>
      <sheetName val="23f - Altman_Dati"/>
      <sheetName val="23g - Altman_Dati_Graf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7">
          <cell r="B37">
            <v>0</v>
          </cell>
          <cell r="C37">
            <v>152880</v>
          </cell>
          <cell r="D37">
            <v>382200</v>
          </cell>
          <cell r="E37">
            <v>509600</v>
          </cell>
          <cell r="F37">
            <v>649740</v>
          </cell>
        </row>
        <row r="38">
          <cell r="C38">
            <v>0</v>
          </cell>
          <cell r="D38">
            <v>0</v>
          </cell>
          <cell r="E38">
            <v>0</v>
          </cell>
          <cell r="F38">
            <v>0</v>
          </cell>
        </row>
        <row r="39">
          <cell r="C39">
            <v>10000</v>
          </cell>
          <cell r="D39">
            <v>12000</v>
          </cell>
          <cell r="E39">
            <v>15000</v>
          </cell>
          <cell r="F39">
            <v>20000</v>
          </cell>
        </row>
        <row r="115">
          <cell r="B115">
            <v>0</v>
          </cell>
          <cell r="C115">
            <v>1560000</v>
          </cell>
          <cell r="D115">
            <v>3900000</v>
          </cell>
          <cell r="E115">
            <v>5200000</v>
          </cell>
          <cell r="F115">
            <v>6630000</v>
          </cell>
        </row>
        <row r="117">
          <cell r="B117">
            <v>0</v>
          </cell>
          <cell r="C117">
            <v>1528800</v>
          </cell>
          <cell r="D117">
            <v>3822000</v>
          </cell>
          <cell r="E117">
            <v>5096000</v>
          </cell>
          <cell r="F117">
            <v>6497400</v>
          </cell>
        </row>
      </sheetData>
      <sheetData sheetId="33">
        <row r="15">
          <cell r="B15">
            <v>0</v>
          </cell>
          <cell r="C15">
            <v>20000</v>
          </cell>
          <cell r="D15">
            <v>47500</v>
          </cell>
          <cell r="E15">
            <v>62500</v>
          </cell>
          <cell r="F15">
            <v>80000</v>
          </cell>
        </row>
        <row r="22">
          <cell r="B22">
            <v>1</v>
          </cell>
          <cell r="C22">
            <v>2</v>
          </cell>
          <cell r="D22">
            <v>4</v>
          </cell>
          <cell r="E22">
            <v>6</v>
          </cell>
          <cell r="F22">
            <v>7</v>
          </cell>
        </row>
        <row r="23">
          <cell r="B23">
            <v>2</v>
          </cell>
          <cell r="C23">
            <v>4</v>
          </cell>
          <cell r="D23">
            <v>5</v>
          </cell>
          <cell r="E23">
            <v>6</v>
          </cell>
          <cell r="F23">
            <v>8</v>
          </cell>
        </row>
        <row r="24">
          <cell r="B24">
            <v>3</v>
          </cell>
          <cell r="C24">
            <v>4</v>
          </cell>
          <cell r="D24">
            <v>8</v>
          </cell>
          <cell r="E24">
            <v>12</v>
          </cell>
          <cell r="F24">
            <v>15</v>
          </cell>
        </row>
      </sheetData>
      <sheetData sheetId="34"/>
      <sheetData sheetId="35">
        <row r="83">
          <cell r="B83">
            <v>90000</v>
          </cell>
          <cell r="C83">
            <v>150800</v>
          </cell>
          <cell r="D83">
            <v>285245.99999999994</v>
          </cell>
          <cell r="E83">
            <v>367644.42</v>
          </cell>
          <cell r="F83">
            <v>380511.97469999996</v>
          </cell>
        </row>
        <row r="92">
          <cell r="B92">
            <v>515000</v>
          </cell>
          <cell r="C92">
            <v>821600</v>
          </cell>
          <cell r="D92">
            <v>1410084</v>
          </cell>
          <cell r="E92">
            <v>1905066.5399999996</v>
          </cell>
          <cell r="F92">
            <v>2352255.8435999998</v>
          </cell>
        </row>
        <row r="98">
          <cell r="B98">
            <v>185000</v>
          </cell>
          <cell r="C98">
            <v>192400</v>
          </cell>
          <cell r="D98">
            <v>199134</v>
          </cell>
          <cell r="E98">
            <v>206103.68999999997</v>
          </cell>
          <cell r="F98">
            <v>213317.31914999997</v>
          </cell>
        </row>
        <row r="119">
          <cell r="B119">
            <v>36340</v>
          </cell>
          <cell r="C119">
            <v>85122</v>
          </cell>
          <cell r="D119">
            <v>161860.68</v>
          </cell>
          <cell r="E119">
            <v>257221.27124999999</v>
          </cell>
          <cell r="F119">
            <v>364072.97531024995</v>
          </cell>
        </row>
      </sheetData>
      <sheetData sheetId="36">
        <row r="41">
          <cell r="B41">
            <v>557500</v>
          </cell>
          <cell r="C41">
            <v>163800</v>
          </cell>
          <cell r="D41">
            <v>254100</v>
          </cell>
          <cell r="E41">
            <v>262500</v>
          </cell>
          <cell r="F41">
            <v>233100</v>
          </cell>
        </row>
        <row r="79">
          <cell r="B79">
            <v>3375</v>
          </cell>
          <cell r="C79">
            <v>6750</v>
          </cell>
          <cell r="D79">
            <v>6750</v>
          </cell>
          <cell r="E79">
            <v>6750</v>
          </cell>
          <cell r="F79">
            <v>6750</v>
          </cell>
        </row>
        <row r="86">
          <cell r="B86">
            <v>50250</v>
          </cell>
          <cell r="C86">
            <v>116880</v>
          </cell>
          <cell r="D86">
            <v>158670</v>
          </cell>
          <cell r="E86">
            <v>210330</v>
          </cell>
          <cell r="F86">
            <v>259890</v>
          </cell>
        </row>
        <row r="93">
          <cell r="B93">
            <v>1675</v>
          </cell>
          <cell r="C93">
            <v>3350</v>
          </cell>
          <cell r="D93">
            <v>3350</v>
          </cell>
          <cell r="E93">
            <v>3350</v>
          </cell>
          <cell r="F93">
            <v>3350</v>
          </cell>
        </row>
        <row r="101">
          <cell r="B101">
            <v>55300</v>
          </cell>
          <cell r="C101">
            <v>182280</v>
          </cell>
          <cell r="D101">
            <v>351050</v>
          </cell>
          <cell r="E101">
            <v>571480</v>
          </cell>
          <cell r="F101">
            <v>841470</v>
          </cell>
        </row>
        <row r="143">
          <cell r="B143">
            <v>0</v>
          </cell>
          <cell r="C143">
            <v>0</v>
          </cell>
          <cell r="D143">
            <v>0</v>
          </cell>
          <cell r="E143">
            <v>0</v>
          </cell>
          <cell r="F143">
            <v>0</v>
          </cell>
        </row>
      </sheetData>
      <sheetData sheetId="37">
        <row r="44">
          <cell r="B44">
            <v>0</v>
          </cell>
          <cell r="C44">
            <v>0</v>
          </cell>
          <cell r="D44">
            <v>0</v>
          </cell>
          <cell r="E44">
            <v>0</v>
          </cell>
          <cell r="F44">
            <v>0</v>
          </cell>
        </row>
      </sheetData>
      <sheetData sheetId="38">
        <row r="1">
          <cell r="A1" t="str">
            <v>Le celle del presente foglio che contengono formule non sono modificabili. Nelle celle colorate, invece, è consentita l'immissione di valori al fine di variare le ipotesi di simulazione.</v>
          </cell>
        </row>
        <row r="2">
          <cell r="A2" t="str">
            <v>MODELLO ECONOMICO-FINANZIARIO</v>
          </cell>
        </row>
        <row r="3">
          <cell r="A3" t="str">
            <v>PARAMETRI DI INPUT   :</v>
          </cell>
          <cell r="B3" t="str">
            <v>START-UP</v>
          </cell>
          <cell r="C3" t="str">
            <v>II ANNO</v>
          </cell>
          <cell r="D3" t="str">
            <v>III ANNO</v>
          </cell>
          <cell r="E3" t="str">
            <v>IV ANNO</v>
          </cell>
          <cell r="F3" t="str">
            <v>V ANNO</v>
          </cell>
        </row>
        <row r="4">
          <cell r="A4" t="str">
            <v>Aliquota % I.V.A.</v>
          </cell>
          <cell r="B4">
            <v>0.19</v>
          </cell>
          <cell r="C4">
            <v>0.19</v>
          </cell>
          <cell r="D4">
            <v>0.19</v>
          </cell>
          <cell r="E4">
            <v>0.19</v>
          </cell>
          <cell r="F4">
            <v>0.19</v>
          </cell>
        </row>
        <row r="5">
          <cell r="A5" t="str">
            <v xml:space="preserve">Limite regime IVA trimestrale </v>
          </cell>
          <cell r="B5">
            <v>480</v>
          </cell>
          <cell r="C5">
            <v>480</v>
          </cell>
          <cell r="D5">
            <v>480</v>
          </cell>
          <cell r="E5">
            <v>480</v>
          </cell>
          <cell r="F5">
            <v>480</v>
          </cell>
        </row>
        <row r="6">
          <cell r="A6" t="str">
            <v>Inflazione</v>
          </cell>
          <cell r="B6">
            <v>0.05</v>
          </cell>
          <cell r="C6">
            <v>0.04</v>
          </cell>
          <cell r="D6">
            <v>3.5000000000000003E-2</v>
          </cell>
          <cell r="E6">
            <v>3.5000000000000003E-2</v>
          </cell>
        </row>
        <row r="7">
          <cell r="A7" t="str">
            <v>Cassa desiderata</v>
          </cell>
          <cell r="B7">
            <v>5000</v>
          </cell>
          <cell r="C7">
            <v>5000</v>
          </cell>
          <cell r="D7">
            <v>5000</v>
          </cell>
          <cell r="E7">
            <v>5000</v>
          </cell>
          <cell r="F7">
            <v>5000</v>
          </cell>
        </row>
        <row r="8">
          <cell r="A8" t="str">
            <v xml:space="preserve">% accantonamento annuo svalutazione crediti </v>
          </cell>
          <cell r="B8">
            <v>5.0000000000000001E-3</v>
          </cell>
          <cell r="C8">
            <v>5.0000000000000001E-3</v>
          </cell>
          <cell r="D8">
            <v>5.0000000000000001E-3</v>
          </cell>
          <cell r="E8">
            <v>5.0000000000000001E-3</v>
          </cell>
          <cell r="F8">
            <v>5.0000000000000001E-3</v>
          </cell>
        </row>
        <row r="9">
          <cell r="A9" t="str">
            <v>Max livello % Fondo svalutazione su crediti</v>
          </cell>
          <cell r="B9">
            <v>0.05</v>
          </cell>
          <cell r="C9">
            <v>0.05</v>
          </cell>
          <cell r="D9">
            <v>0.05</v>
          </cell>
          <cell r="E9">
            <v>0.05</v>
          </cell>
          <cell r="F9">
            <v>0.05</v>
          </cell>
        </row>
        <row r="10">
          <cell r="A10" t="str">
            <v>Crediti diversi</v>
          </cell>
          <cell r="B10">
            <v>5.0000000000000001E-3</v>
          </cell>
          <cell r="C10">
            <v>5.0000000000000001E-3</v>
          </cell>
          <cell r="D10">
            <v>5.0000000000000001E-3</v>
          </cell>
          <cell r="E10">
            <v>5.0000000000000001E-3</v>
          </cell>
          <cell r="F10">
            <v>5.0000000000000001E-3</v>
          </cell>
        </row>
        <row r="11">
          <cell r="A11" t="str">
            <v>Debiti diversi</v>
          </cell>
          <cell r="B11">
            <v>5.0000000000000001E-3</v>
          </cell>
          <cell r="C11">
            <v>5.0000000000000001E-3</v>
          </cell>
          <cell r="D11">
            <v>5.0000000000000001E-3</v>
          </cell>
          <cell r="E11">
            <v>5.0000000000000001E-3</v>
          </cell>
          <cell r="F11">
            <v>5.0000000000000001E-3</v>
          </cell>
        </row>
        <row r="12">
          <cell r="A12" t="str">
            <v>Tasso di attualizzazione dei flussi di cassa</v>
          </cell>
          <cell r="B12">
            <v>0</v>
          </cell>
          <cell r="C12" t="str">
            <v>Se=0 Attualizzazione al ROI minimo medio</v>
          </cell>
        </row>
        <row r="14">
          <cell r="A14" t="str">
            <v>RIEPILOGO DELL'IVA</v>
          </cell>
        </row>
        <row r="15">
          <cell r="B15" t="str">
            <v>START-UP</v>
          </cell>
          <cell r="C15" t="str">
            <v>II ANNO</v>
          </cell>
          <cell r="D15" t="str">
            <v>III ANNO</v>
          </cell>
          <cell r="E15" t="str">
            <v>IV ANNO</v>
          </cell>
          <cell r="F15" t="str">
            <v>V ANNO</v>
          </cell>
        </row>
        <row r="16">
          <cell r="A16" t="str">
            <v>I.V.A. a Credito</v>
          </cell>
        </row>
        <row r="17">
          <cell r="A17" t="str">
            <v>Piano di marketing</v>
          </cell>
          <cell r="B17">
            <v>6840</v>
          </cell>
          <cell r="C17">
            <v>0</v>
          </cell>
          <cell r="D17">
            <v>0</v>
          </cell>
          <cell r="E17">
            <v>0</v>
          </cell>
          <cell r="F17">
            <v>0</v>
          </cell>
        </row>
        <row r="18">
          <cell r="A18" t="str">
            <v>Piano di produzione</v>
          </cell>
          <cell r="B18">
            <v>95475</v>
          </cell>
          <cell r="C18">
            <v>34922</v>
          </cell>
          <cell r="D18">
            <v>57304</v>
          </cell>
          <cell r="E18">
            <v>61750</v>
          </cell>
          <cell r="F18">
            <v>59489</v>
          </cell>
        </row>
        <row r="19">
          <cell r="A19" t="str">
            <v>Piano di struttura</v>
          </cell>
          <cell r="B19">
            <v>4180</v>
          </cell>
          <cell r="C19">
            <v>475</v>
          </cell>
          <cell r="D19">
            <v>475</v>
          </cell>
          <cell r="E19">
            <v>661.2</v>
          </cell>
          <cell r="F19">
            <v>924.76800000000003</v>
          </cell>
        </row>
        <row r="20">
          <cell r="A20" t="str">
            <v>Piano del personale</v>
          </cell>
          <cell r="B20">
            <v>35340</v>
          </cell>
          <cell r="C20">
            <v>21439.599999999999</v>
          </cell>
          <cell r="D20">
            <v>41209.974000000002</v>
          </cell>
          <cell r="E20">
            <v>36090.427229999987</v>
          </cell>
          <cell r="F20">
            <v>33957.811075499994</v>
          </cell>
        </row>
        <row r="21">
          <cell r="A21" t="str">
            <v>Leasing</v>
          </cell>
          <cell r="B21">
            <v>0</v>
          </cell>
          <cell r="C21">
            <v>0</v>
          </cell>
          <cell r="D21">
            <v>0</v>
          </cell>
          <cell r="E21">
            <v>0</v>
          </cell>
          <cell r="F21">
            <v>0</v>
          </cell>
        </row>
        <row r="22">
          <cell r="A22" t="str">
            <v>Totale I.V.A. a Credito</v>
          </cell>
          <cell r="B22">
            <v>141835</v>
          </cell>
          <cell r="C22">
            <v>56836.6</v>
          </cell>
          <cell r="D22">
            <v>98988.974000000002</v>
          </cell>
          <cell r="E22">
            <v>98501.627229999984</v>
          </cell>
          <cell r="F22">
            <v>94371.579075499991</v>
          </cell>
        </row>
        <row r="24">
          <cell r="A24" t="str">
            <v>I. V.A. a Debito</v>
          </cell>
        </row>
        <row r="25">
          <cell r="A25" t="str">
            <v>Piano di marketing</v>
          </cell>
          <cell r="B25">
            <v>0</v>
          </cell>
          <cell r="C25">
            <v>-259524.8</v>
          </cell>
          <cell r="D25">
            <v>-651282</v>
          </cell>
          <cell r="E25">
            <v>-868566</v>
          </cell>
          <cell r="F25">
            <v>-1107255.3999999999</v>
          </cell>
        </row>
        <row r="26">
          <cell r="A26" t="str">
            <v>Piano di produzione</v>
          </cell>
          <cell r="B26">
            <v>0</v>
          </cell>
          <cell r="C26">
            <v>0</v>
          </cell>
          <cell r="D26">
            <v>0</v>
          </cell>
          <cell r="E26">
            <v>0</v>
          </cell>
          <cell r="F26">
            <v>0</v>
          </cell>
        </row>
        <row r="27">
          <cell r="A27" t="str">
            <v>Piano di struttura</v>
          </cell>
          <cell r="B27">
            <v>0</v>
          </cell>
          <cell r="C27">
            <v>0</v>
          </cell>
          <cell r="D27">
            <v>0</v>
          </cell>
          <cell r="E27">
            <v>0</v>
          </cell>
          <cell r="F27">
            <v>0</v>
          </cell>
        </row>
        <row r="28">
          <cell r="A28" t="str">
            <v>Piano del personale</v>
          </cell>
          <cell r="B28">
            <v>0</v>
          </cell>
          <cell r="C28">
            <v>0</v>
          </cell>
          <cell r="D28">
            <v>0</v>
          </cell>
          <cell r="E28">
            <v>0</v>
          </cell>
          <cell r="F28">
            <v>0</v>
          </cell>
        </row>
        <row r="29">
          <cell r="A29" t="str">
            <v>Leasing</v>
          </cell>
          <cell r="B29">
            <v>0</v>
          </cell>
          <cell r="C29">
            <v>0</v>
          </cell>
          <cell r="D29">
            <v>0</v>
          </cell>
          <cell r="E29">
            <v>0</v>
          </cell>
          <cell r="F29">
            <v>0</v>
          </cell>
        </row>
        <row r="30">
          <cell r="A30" t="str">
            <v>Totale I.V.A. a Debito</v>
          </cell>
          <cell r="B30">
            <v>0</v>
          </cell>
          <cell r="C30">
            <v>-259524.8</v>
          </cell>
          <cell r="D30">
            <v>-651282</v>
          </cell>
          <cell r="E30">
            <v>-868566</v>
          </cell>
          <cell r="F30">
            <v>-1107255.3999999999</v>
          </cell>
        </row>
        <row r="32">
          <cell r="A32" t="str">
            <v>Saldo I.V.A.</v>
          </cell>
          <cell r="B32">
            <v>141835</v>
          </cell>
          <cell r="C32">
            <v>-202688.19999999998</v>
          </cell>
          <cell r="D32">
            <v>-552293.02599999995</v>
          </cell>
          <cell r="E32">
            <v>-770064.37277000002</v>
          </cell>
          <cell r="F32">
            <v>-1012883.8209244999</v>
          </cell>
        </row>
        <row r="34">
          <cell r="A34" t="str">
            <v>Saldo cumulativo</v>
          </cell>
          <cell r="B34">
            <v>141835</v>
          </cell>
          <cell r="C34">
            <v>-60853.199999999983</v>
          </cell>
          <cell r="D34">
            <v>-552293.02599999995</v>
          </cell>
          <cell r="E34">
            <v>-770064.37277000002</v>
          </cell>
          <cell r="F34">
            <v>-1012883.8209244999</v>
          </cell>
        </row>
        <row r="36">
          <cell r="A36" t="str">
            <v>Regime I.V.A. (Trim/Mens)</v>
          </cell>
          <cell r="B36" t="str">
            <v>TRIM</v>
          </cell>
          <cell r="C36" t="str">
            <v>TRIM</v>
          </cell>
          <cell r="D36" t="str">
            <v>MENS</v>
          </cell>
          <cell r="E36" t="str">
            <v>MENS</v>
          </cell>
          <cell r="F36" t="str">
            <v>MENS</v>
          </cell>
        </row>
        <row r="38">
          <cell r="A38" t="str">
            <v>Credito I.V.A.</v>
          </cell>
          <cell r="B38">
            <v>141835</v>
          </cell>
          <cell r="C38">
            <v>0</v>
          </cell>
          <cell r="D38">
            <v>0</v>
          </cell>
          <cell r="E38">
            <v>0</v>
          </cell>
          <cell r="F38">
            <v>0</v>
          </cell>
        </row>
        <row r="39">
          <cell r="A39" t="str">
            <v>Debito I.V.A.</v>
          </cell>
          <cell r="B39">
            <v>0</v>
          </cell>
          <cell r="C39">
            <v>-15213.299999999996</v>
          </cell>
          <cell r="D39">
            <v>-46024.41883333333</v>
          </cell>
          <cell r="E39">
            <v>-64172.031064166666</v>
          </cell>
          <cell r="F39">
            <v>-84406.985077041652</v>
          </cell>
        </row>
        <row r="42">
          <cell r="A42" t="str">
            <v xml:space="preserve">CONTO ECONOMICO </v>
          </cell>
        </row>
        <row r="43">
          <cell r="B43" t="str">
            <v>START-UP</v>
          </cell>
          <cell r="C43" t="str">
            <v>II ANNO</v>
          </cell>
          <cell r="D43" t="str">
            <v>III ANNO</v>
          </cell>
          <cell r="E43" t="str">
            <v>IV ANNO</v>
          </cell>
          <cell r="F43" t="str">
            <v>V ANNO</v>
          </cell>
        </row>
        <row r="44">
          <cell r="A44" t="str">
            <v>Ricavi lordi</v>
          </cell>
          <cell r="B44">
            <v>0</v>
          </cell>
          <cell r="C44">
            <v>1560000</v>
          </cell>
          <cell r="D44">
            <v>3900000</v>
          </cell>
          <cell r="E44">
            <v>5200000</v>
          </cell>
          <cell r="F44">
            <v>6630000</v>
          </cell>
        </row>
        <row r="45">
          <cell r="A45" t="str">
            <v>(-) Sconti commerciali</v>
          </cell>
          <cell r="B45">
            <v>0</v>
          </cell>
          <cell r="C45">
            <v>-31200</v>
          </cell>
          <cell r="D45">
            <v>-78000</v>
          </cell>
          <cell r="E45">
            <v>-104000</v>
          </cell>
          <cell r="F45">
            <v>-132600</v>
          </cell>
        </row>
        <row r="46">
          <cell r="A46" t="str">
            <v>RICAVI  NETTI</v>
          </cell>
          <cell r="B46">
            <v>0</v>
          </cell>
          <cell r="C46">
            <v>1528800</v>
          </cell>
          <cell r="D46">
            <v>3822000</v>
          </cell>
          <cell r="E46">
            <v>5096000</v>
          </cell>
          <cell r="F46">
            <v>6497400</v>
          </cell>
        </row>
        <row r="48">
          <cell r="A48" t="str">
            <v>Rimanenze iniziali</v>
          </cell>
          <cell r="B48">
            <v>0</v>
          </cell>
          <cell r="C48">
            <v>0</v>
          </cell>
          <cell r="D48">
            <v>305000</v>
          </cell>
          <cell r="E48">
            <v>761875</v>
          </cell>
          <cell r="F48">
            <v>1015625</v>
          </cell>
        </row>
        <row r="49">
          <cell r="A49" t="str">
            <v>Acquisti</v>
          </cell>
          <cell r="B49">
            <v>0</v>
          </cell>
          <cell r="C49">
            <v>20000</v>
          </cell>
          <cell r="D49">
            <v>47500</v>
          </cell>
          <cell r="E49">
            <v>62500</v>
          </cell>
          <cell r="F49">
            <v>80000</v>
          </cell>
        </row>
        <row r="50">
          <cell r="A50" t="str">
            <v>Rimanenze finali</v>
          </cell>
          <cell r="B50">
            <v>0</v>
          </cell>
          <cell r="C50">
            <v>-305000</v>
          </cell>
          <cell r="D50">
            <v>-761875</v>
          </cell>
          <cell r="E50">
            <v>-1015625</v>
          </cell>
          <cell r="F50">
            <v>-1295000</v>
          </cell>
        </row>
        <row r="51">
          <cell r="A51" t="str">
            <v xml:space="preserve">Manodopera </v>
          </cell>
          <cell r="B51">
            <v>515000</v>
          </cell>
          <cell r="C51">
            <v>821600</v>
          </cell>
          <cell r="D51">
            <v>1410084</v>
          </cell>
          <cell r="E51">
            <v>1905066.5399999996</v>
          </cell>
          <cell r="F51">
            <v>2352255.8435999998</v>
          </cell>
        </row>
        <row r="52">
          <cell r="A52" t="str">
            <v>Canoni Leasing</v>
          </cell>
          <cell r="B52">
            <v>0</v>
          </cell>
          <cell r="C52">
            <v>0</v>
          </cell>
          <cell r="D52">
            <v>0</v>
          </cell>
          <cell r="E52">
            <v>0</v>
          </cell>
          <cell r="F52">
            <v>0</v>
          </cell>
        </row>
        <row r="53">
          <cell r="A53" t="str">
            <v>Ammortamenti dei beni strumentali alla produz.</v>
          </cell>
          <cell r="B53">
            <v>50250</v>
          </cell>
          <cell r="C53">
            <v>116880</v>
          </cell>
          <cell r="D53">
            <v>158670</v>
          </cell>
          <cell r="E53">
            <v>210330</v>
          </cell>
          <cell r="F53">
            <v>259890</v>
          </cell>
        </row>
        <row r="54">
          <cell r="A54" t="str">
            <v>COSTO DEL VENDUTO</v>
          </cell>
          <cell r="B54">
            <v>565250</v>
          </cell>
          <cell r="C54">
            <v>653480</v>
          </cell>
          <cell r="D54">
            <v>1159379</v>
          </cell>
          <cell r="E54">
            <v>1924146.5399999996</v>
          </cell>
          <cell r="F54">
            <v>2412770.8435999998</v>
          </cell>
        </row>
        <row r="56">
          <cell r="A56" t="str">
            <v>MARGINE LORDO IND.LE</v>
          </cell>
          <cell r="B56">
            <v>-565250</v>
          </cell>
          <cell r="C56">
            <v>875320</v>
          </cell>
          <cell r="D56">
            <v>2662621</v>
          </cell>
          <cell r="E56">
            <v>3171853.4600000004</v>
          </cell>
          <cell r="F56">
            <v>4084629.1564000002</v>
          </cell>
        </row>
        <row r="58">
          <cell r="A58" t="str">
            <v>Costi  vendita</v>
          </cell>
          <cell r="B58">
            <v>0</v>
          </cell>
          <cell r="C58">
            <v>152880</v>
          </cell>
          <cell r="D58">
            <v>382200</v>
          </cell>
          <cell r="E58">
            <v>509600</v>
          </cell>
          <cell r="F58">
            <v>649740</v>
          </cell>
        </row>
        <row r="59">
          <cell r="A59" t="str">
            <v>Costi  distribuzione</v>
          </cell>
          <cell r="B59">
            <v>0</v>
          </cell>
          <cell r="C59">
            <v>0</v>
          </cell>
          <cell r="D59">
            <v>0</v>
          </cell>
          <cell r="E59">
            <v>0</v>
          </cell>
          <cell r="F59">
            <v>0</v>
          </cell>
        </row>
        <row r="60">
          <cell r="A60" t="str">
            <v>Costi  di comunicazione</v>
          </cell>
          <cell r="B60">
            <v>0</v>
          </cell>
          <cell r="C60">
            <v>10000</v>
          </cell>
          <cell r="D60">
            <v>12000</v>
          </cell>
          <cell r="E60">
            <v>15000</v>
          </cell>
          <cell r="F60">
            <v>20000</v>
          </cell>
        </row>
        <row r="61">
          <cell r="A61" t="str">
            <v>Accantonamento svalutazione crediti</v>
          </cell>
          <cell r="B61">
            <v>0</v>
          </cell>
          <cell r="C61">
            <v>1516.06</v>
          </cell>
          <cell r="D61">
            <v>3790.15</v>
          </cell>
          <cell r="E61">
            <v>5053.5333333333328</v>
          </cell>
          <cell r="F61">
            <v>6443.2550000000001</v>
          </cell>
        </row>
        <row r="62">
          <cell r="A62" t="str">
            <v>Costi generali e amministrativi</v>
          </cell>
          <cell r="B62">
            <v>7000</v>
          </cell>
          <cell r="C62">
            <v>5500</v>
          </cell>
          <cell r="D62">
            <v>5500</v>
          </cell>
          <cell r="E62">
            <v>6480</v>
          </cell>
          <cell r="F62">
            <v>7867.2</v>
          </cell>
        </row>
        <row r="63">
          <cell r="A63" t="str">
            <v xml:space="preserve">Costo del personale </v>
          </cell>
          <cell r="B63">
            <v>275000</v>
          </cell>
          <cell r="C63">
            <v>343200</v>
          </cell>
          <cell r="D63">
            <v>484379.99999999994</v>
          </cell>
          <cell r="E63">
            <v>573748.11</v>
          </cell>
          <cell r="F63">
            <v>593829.2938499999</v>
          </cell>
        </row>
        <row r="64">
          <cell r="A64" t="str">
            <v>Prestazioni esterne</v>
          </cell>
          <cell r="B64">
            <v>186000</v>
          </cell>
          <cell r="C64">
            <v>112840</v>
          </cell>
          <cell r="D64">
            <v>216894.59999999998</v>
          </cell>
          <cell r="E64">
            <v>189949.61699999997</v>
          </cell>
          <cell r="F64">
            <v>178725.32144999993</v>
          </cell>
        </row>
        <row r="65">
          <cell r="A65" t="str">
            <v xml:space="preserve">Ammortamenti </v>
          </cell>
          <cell r="B65">
            <v>5050</v>
          </cell>
          <cell r="C65">
            <v>10100</v>
          </cell>
          <cell r="D65">
            <v>10100</v>
          </cell>
          <cell r="E65">
            <v>10100</v>
          </cell>
          <cell r="F65">
            <v>10100</v>
          </cell>
        </row>
        <row r="66">
          <cell r="A66" t="str">
            <v>COSTI OPERATIVI</v>
          </cell>
          <cell r="B66">
            <v>473050</v>
          </cell>
          <cell r="C66">
            <v>636036.06000000006</v>
          </cell>
          <cell r="D66">
            <v>1114864.75</v>
          </cell>
          <cell r="E66">
            <v>1309931.2603333332</v>
          </cell>
          <cell r="F66">
            <v>1466705.0702999998</v>
          </cell>
        </row>
        <row r="68">
          <cell r="A68" t="str">
            <v>REDDITO OPERATIVO</v>
          </cell>
          <cell r="B68">
            <v>-1038300</v>
          </cell>
          <cell r="C68">
            <v>239283.93999999994</v>
          </cell>
          <cell r="D68">
            <v>1547756.25</v>
          </cell>
          <cell r="E68">
            <v>1861922.1996666673</v>
          </cell>
          <cell r="F68">
            <v>2617924.0861000004</v>
          </cell>
        </row>
        <row r="70">
          <cell r="A70" t="str">
            <v>Oneri (Proventi)  finanziari  netti</v>
          </cell>
          <cell r="B70">
            <v>110603.33167420201</v>
          </cell>
          <cell r="C70">
            <v>185408.76240399404</v>
          </cell>
          <cell r="D70">
            <v>74239.997438402526</v>
          </cell>
          <cell r="E70">
            <v>-37196.721505402384</v>
          </cell>
          <cell r="F70">
            <v>-127973.57004859828</v>
          </cell>
        </row>
        <row r="71">
          <cell r="A71" t="str">
            <v>RISULTATO GESTIONE FINANZIARIA</v>
          </cell>
          <cell r="B71">
            <v>-110603.33167420201</v>
          </cell>
          <cell r="C71">
            <v>-185408.76240399404</v>
          </cell>
          <cell r="D71">
            <v>-74239.997438402526</v>
          </cell>
          <cell r="E71">
            <v>37196.721505402384</v>
          </cell>
          <cell r="F71">
            <v>127973.57004859828</v>
          </cell>
        </row>
        <row r="73">
          <cell r="A73" t="str">
            <v>Componenti straord. positivi</v>
          </cell>
          <cell r="B73">
            <v>0</v>
          </cell>
          <cell r="C73">
            <v>0</v>
          </cell>
          <cell r="D73">
            <v>0</v>
          </cell>
          <cell r="E73">
            <v>0</v>
          </cell>
          <cell r="F73">
            <v>0</v>
          </cell>
        </row>
        <row r="74">
          <cell r="A74" t="str">
            <v>Componenti straord.  negativi</v>
          </cell>
        </row>
        <row r="75">
          <cell r="A75" t="str">
            <v>RISULTATO GESTIONE STRAORDINARIA</v>
          </cell>
          <cell r="B75">
            <v>0</v>
          </cell>
          <cell r="C75">
            <v>0</v>
          </cell>
          <cell r="D75">
            <v>0</v>
          </cell>
          <cell r="E75">
            <v>0</v>
          </cell>
          <cell r="F75">
            <v>0</v>
          </cell>
        </row>
        <row r="77">
          <cell r="A77" t="str">
            <v>RISULTATO ANTE IMPOSTE</v>
          </cell>
          <cell r="B77">
            <v>-1148903.3316742021</v>
          </cell>
          <cell r="C77">
            <v>53875.177596005902</v>
          </cell>
          <cell r="D77">
            <v>1473516.2525615974</v>
          </cell>
          <cell r="E77">
            <v>1899118.9211720696</v>
          </cell>
          <cell r="F77">
            <v>2745897.6561485985</v>
          </cell>
        </row>
        <row r="79">
          <cell r="A79" t="str">
            <v>Imposte</v>
          </cell>
          <cell r="B79">
            <v>0</v>
          </cell>
          <cell r="C79">
            <v>0</v>
          </cell>
          <cell r="D79">
            <v>196813.81121136859</v>
          </cell>
          <cell r="E79">
            <v>987541.83900947624</v>
          </cell>
          <cell r="F79">
            <v>1427866.7811972713</v>
          </cell>
        </row>
        <row r="81">
          <cell r="A81" t="str">
            <v>RISULTATO NETTO</v>
          </cell>
          <cell r="B81">
            <v>-1148903.3316742021</v>
          </cell>
          <cell r="C81">
            <v>53875.177596005902</v>
          </cell>
          <cell r="D81">
            <v>1276702.4413502289</v>
          </cell>
          <cell r="E81">
            <v>911577.08216259337</v>
          </cell>
          <cell r="F81">
            <v>1318030.8749513272</v>
          </cell>
        </row>
        <row r="83">
          <cell r="A83" t="str">
            <v xml:space="preserve">STATO PATRIMONIALE </v>
          </cell>
        </row>
        <row r="84">
          <cell r="B84" t="str">
            <v>START-UP</v>
          </cell>
          <cell r="C84" t="str">
            <v>II ANNO</v>
          </cell>
          <cell r="D84" t="str">
            <v>III ANNO</v>
          </cell>
          <cell r="E84" t="str">
            <v>IV ANNO</v>
          </cell>
          <cell r="F84" t="str">
            <v>V ANNO</v>
          </cell>
        </row>
        <row r="86">
          <cell r="A86" t="str">
            <v>IMPIEGHI</v>
          </cell>
        </row>
        <row r="87">
          <cell r="A87" t="str">
            <v>Gestione caratteristica:</v>
          </cell>
        </row>
        <row r="88">
          <cell r="A88" t="str">
            <v>CASSA DESIDERATA</v>
          </cell>
          <cell r="B88">
            <v>5000</v>
          </cell>
          <cell r="C88">
            <v>5000</v>
          </cell>
          <cell r="D88">
            <v>5000</v>
          </cell>
          <cell r="E88">
            <v>5000</v>
          </cell>
          <cell r="F88">
            <v>5000</v>
          </cell>
        </row>
        <row r="90">
          <cell r="A90" t="str">
            <v>Crediti v/clienti</v>
          </cell>
          <cell r="B90">
            <v>0</v>
          </cell>
          <cell r="C90">
            <v>303212</v>
          </cell>
          <cell r="D90">
            <v>758030</v>
          </cell>
          <cell r="E90">
            <v>1010706.6666666665</v>
          </cell>
          <cell r="F90">
            <v>1288651</v>
          </cell>
        </row>
        <row r="91">
          <cell r="A91" t="str">
            <v>(-) Fondo svalutazione crediti</v>
          </cell>
          <cell r="B91">
            <v>0</v>
          </cell>
          <cell r="C91">
            <v>-1516.06</v>
          </cell>
          <cell r="D91">
            <v>-5306.21</v>
          </cell>
          <cell r="E91">
            <v>-10359.743333333332</v>
          </cell>
          <cell r="F91">
            <v>-16802.998333333333</v>
          </cell>
        </row>
        <row r="92">
          <cell r="A92" t="str">
            <v>Magazzino</v>
          </cell>
          <cell r="B92">
            <v>0</v>
          </cell>
          <cell r="C92">
            <v>305000</v>
          </cell>
          <cell r="D92">
            <v>761875</v>
          </cell>
          <cell r="E92">
            <v>1015625</v>
          </cell>
          <cell r="F92">
            <v>1295000</v>
          </cell>
        </row>
        <row r="93">
          <cell r="A93" t="str">
            <v>(-) Debiti v/fornitori</v>
          </cell>
          <cell r="B93">
            <v>-144119.58333333334</v>
          </cell>
          <cell r="C93">
            <v>-69283.899999999994</v>
          </cell>
          <cell r="D93">
            <v>-126480.42283333333</v>
          </cell>
          <cell r="E93">
            <v>-139583.46201916668</v>
          </cell>
          <cell r="F93">
            <v>-146381.14437712499</v>
          </cell>
        </row>
        <row r="94">
          <cell r="A94" t="str">
            <v xml:space="preserve">(+/-) Saldo posizione IVA v/Erario </v>
          </cell>
          <cell r="B94">
            <v>141835</v>
          </cell>
          <cell r="C94">
            <v>-15213.299999999996</v>
          </cell>
          <cell r="D94">
            <v>-46024.41883333333</v>
          </cell>
          <cell r="E94">
            <v>-64172.031064166666</v>
          </cell>
          <cell r="F94">
            <v>-84406.985077041652</v>
          </cell>
        </row>
        <row r="95">
          <cell r="A95" t="str">
            <v>(-) Debiti vs. Enti Previdenziali</v>
          </cell>
          <cell r="B95">
            <v>-34030.769230769234</v>
          </cell>
          <cell r="C95">
            <v>-50176.000000000007</v>
          </cell>
          <cell r="D95">
            <v>-81607.680000000008</v>
          </cell>
          <cell r="E95">
            <v>-106779.70800000001</v>
          </cell>
          <cell r="F95">
            <v>-126908.28284399997</v>
          </cell>
        </row>
        <row r="96">
          <cell r="A96" t="str">
            <v>CAPITALE CIRCOLANTE OPERATIVO NETTO</v>
          </cell>
          <cell r="B96">
            <v>-36315.352564102577</v>
          </cell>
          <cell r="C96">
            <v>472022.73999999993</v>
          </cell>
          <cell r="D96">
            <v>1260486.2683333335</v>
          </cell>
          <cell r="E96">
            <v>1705436.7222499999</v>
          </cell>
          <cell r="F96">
            <v>2209151.5893685003</v>
          </cell>
        </row>
        <row r="98">
          <cell r="A98" t="str">
            <v>Fabbricati</v>
          </cell>
          <cell r="B98">
            <v>0</v>
          </cell>
          <cell r="C98">
            <v>0</v>
          </cell>
          <cell r="D98">
            <v>0</v>
          </cell>
          <cell r="E98">
            <v>0</v>
          </cell>
          <cell r="F98">
            <v>0</v>
          </cell>
        </row>
        <row r="99">
          <cell r="A99" t="str">
            <v>Impianti e macchinari</v>
          </cell>
          <cell r="B99">
            <v>309500</v>
          </cell>
          <cell r="C99">
            <v>309500</v>
          </cell>
          <cell r="D99">
            <v>309500</v>
          </cell>
          <cell r="E99">
            <v>309500</v>
          </cell>
          <cell r="F99">
            <v>309500</v>
          </cell>
        </row>
        <row r="100">
          <cell r="A100" t="str">
            <v>Mobili e arredi</v>
          </cell>
          <cell r="B100">
            <v>230000</v>
          </cell>
          <cell r="C100">
            <v>393800</v>
          </cell>
          <cell r="D100">
            <v>647900</v>
          </cell>
          <cell r="E100">
            <v>910400</v>
          </cell>
          <cell r="F100">
            <v>1143500</v>
          </cell>
        </row>
        <row r="101">
          <cell r="A101" t="str">
            <v>Attrezzature</v>
          </cell>
          <cell r="B101">
            <v>18000</v>
          </cell>
          <cell r="C101">
            <v>18000</v>
          </cell>
          <cell r="D101">
            <v>18000</v>
          </cell>
          <cell r="E101">
            <v>18000</v>
          </cell>
          <cell r="F101">
            <v>18000</v>
          </cell>
        </row>
        <row r="102">
          <cell r="A102" t="str">
            <v>(-) Fondi ammortamento</v>
          </cell>
          <cell r="B102">
            <v>-55300</v>
          </cell>
          <cell r="C102">
            <v>-182280</v>
          </cell>
          <cell r="D102">
            <v>-351050</v>
          </cell>
          <cell r="E102">
            <v>-571480</v>
          </cell>
          <cell r="F102">
            <v>-841470</v>
          </cell>
        </row>
        <row r="103">
          <cell r="A103" t="str">
            <v>IMMOBILIZZAZIONI TECNICHE NETTE</v>
          </cell>
          <cell r="B103">
            <v>502200</v>
          </cell>
          <cell r="C103">
            <v>539020</v>
          </cell>
          <cell r="D103">
            <v>624350</v>
          </cell>
          <cell r="E103">
            <v>666420</v>
          </cell>
          <cell r="F103">
            <v>629530</v>
          </cell>
        </row>
        <row r="105">
          <cell r="A105" t="str">
            <v>IMMOBILIZZAZIONI IMMATERIALI</v>
          </cell>
          <cell r="B105">
            <v>0</v>
          </cell>
          <cell r="C105">
            <v>0</v>
          </cell>
          <cell r="D105">
            <v>0</v>
          </cell>
          <cell r="E105">
            <v>0</v>
          </cell>
          <cell r="F105">
            <v>0</v>
          </cell>
        </row>
        <row r="107">
          <cell r="A107" t="str">
            <v>(-) Fondo T.F.R.</v>
          </cell>
          <cell r="B107">
            <v>-36340</v>
          </cell>
          <cell r="C107">
            <v>-85122</v>
          </cell>
          <cell r="D107">
            <v>-161860.68</v>
          </cell>
          <cell r="E107">
            <v>-257221.27124999999</v>
          </cell>
          <cell r="F107">
            <v>-364072.97531024995</v>
          </cell>
        </row>
        <row r="109">
          <cell r="A109" t="str">
            <v>CAPITALE INVESTITO NETTO DELLA GESTIONE CARATTERISTICA</v>
          </cell>
          <cell r="B109">
            <v>434544.64743589744</v>
          </cell>
          <cell r="C109">
            <v>930920.74</v>
          </cell>
          <cell r="D109">
            <v>1727975.5883333336</v>
          </cell>
          <cell r="E109">
            <v>2119635.4509999999</v>
          </cell>
          <cell r="F109">
            <v>2479608.6140582506</v>
          </cell>
        </row>
        <row r="111">
          <cell r="A111" t="str">
            <v>Gestione extra-caratteristica:</v>
          </cell>
        </row>
        <row r="113">
          <cell r="A113" t="str">
            <v>CREDITI VS. BANCHE</v>
          </cell>
          <cell r="B113">
            <v>0</v>
          </cell>
          <cell r="C113">
            <v>0</v>
          </cell>
          <cell r="D113">
            <v>66772.96537601715</v>
          </cell>
          <cell r="E113">
            <v>1131898.5551833503</v>
          </cell>
          <cell r="F113">
            <v>1694533.1892085224</v>
          </cell>
        </row>
        <row r="115">
          <cell r="A115" t="str">
            <v>Crediti diversi</v>
          </cell>
          <cell r="B115">
            <v>5.0000000000000001E-3</v>
          </cell>
          <cell r="C115">
            <v>5.0000000000000001E-3</v>
          </cell>
          <cell r="D115">
            <v>5.0000000000000001E-3</v>
          </cell>
          <cell r="E115">
            <v>5.0000000000000001E-3</v>
          </cell>
          <cell r="F115">
            <v>5.0000000000000001E-3</v>
          </cell>
        </row>
        <row r="116">
          <cell r="A116" t="str">
            <v xml:space="preserve">(-) Debiti diversi </v>
          </cell>
          <cell r="B116">
            <v>-5.0000000000000001E-3</v>
          </cell>
          <cell r="C116">
            <v>-5.0000000000000001E-3</v>
          </cell>
          <cell r="D116">
            <v>-5.0000000000000001E-3</v>
          </cell>
          <cell r="E116">
            <v>-5.0000000000000001E-3</v>
          </cell>
          <cell r="F116">
            <v>-5.0000000000000001E-3</v>
          </cell>
        </row>
        <row r="117">
          <cell r="A117" t="str">
            <v>Crediti v/Erario ( Imposte)</v>
          </cell>
          <cell r="B117">
            <v>0</v>
          </cell>
          <cell r="C117">
            <v>0</v>
          </cell>
          <cell r="D117">
            <v>0</v>
          </cell>
          <cell r="E117">
            <v>192877.5349871412</v>
          </cell>
          <cell r="F117">
            <v>967791.00222928671</v>
          </cell>
        </row>
        <row r="118">
          <cell r="A118" t="str">
            <v>(-) Fondo Imposte</v>
          </cell>
          <cell r="B118">
            <v>0</v>
          </cell>
          <cell r="C118">
            <v>0</v>
          </cell>
          <cell r="D118">
            <v>-196813.81121136859</v>
          </cell>
          <cell r="E118">
            <v>-987541.83900947624</v>
          </cell>
          <cell r="F118">
            <v>-1427866.7811972713</v>
          </cell>
        </row>
        <row r="119">
          <cell r="A119" t="str">
            <v>ALTRI ELEMENTI DEL CAPITALE INVESTITO</v>
          </cell>
          <cell r="B119">
            <v>0</v>
          </cell>
          <cell r="C119">
            <v>0</v>
          </cell>
          <cell r="D119">
            <v>-196813.81121136859</v>
          </cell>
          <cell r="E119">
            <v>-794664.30402233498</v>
          </cell>
          <cell r="F119">
            <v>-460075.7789679846</v>
          </cell>
        </row>
        <row r="121">
          <cell r="A121" t="str">
            <v>CAPITALE INVESTITO NETTO DELLA GESTIONE EXTRA-CARATTERISTICA</v>
          </cell>
          <cell r="B121">
            <v>0</v>
          </cell>
          <cell r="C121">
            <v>0</v>
          </cell>
          <cell r="D121">
            <v>-130040.84583535144</v>
          </cell>
          <cell r="E121">
            <v>337234.25116101536</v>
          </cell>
          <cell r="F121">
            <v>1234457.410240538</v>
          </cell>
        </row>
        <row r="123">
          <cell r="A123" t="str">
            <v>CAPITALE INVESTITO NETTO</v>
          </cell>
          <cell r="B123">
            <v>434544.64743589744</v>
          </cell>
          <cell r="C123">
            <v>930920.74</v>
          </cell>
          <cell r="D123">
            <v>1597934.7424979822</v>
          </cell>
          <cell r="E123">
            <v>2456869.702161015</v>
          </cell>
          <cell r="F123">
            <v>3714066.0242987885</v>
          </cell>
        </row>
        <row r="126">
          <cell r="B126" t="str">
            <v>START-UP</v>
          </cell>
          <cell r="C126" t="str">
            <v>II ANNO</v>
          </cell>
          <cell r="D126" t="str">
            <v>III ANNO</v>
          </cell>
          <cell r="E126" t="str">
            <v>IV ANNO</v>
          </cell>
          <cell r="F126" t="str">
            <v>V ANNO</v>
          </cell>
        </row>
        <row r="128">
          <cell r="A128" t="str">
            <v>FONTI</v>
          </cell>
        </row>
        <row r="130">
          <cell r="A130" t="str">
            <v>Debiti v/banche</v>
          </cell>
          <cell r="B130">
            <v>1231119.4609666301</v>
          </cell>
          <cell r="C130">
            <v>564135.49347674823</v>
          </cell>
          <cell r="D130">
            <v>0</v>
          </cell>
          <cell r="E130">
            <v>0</v>
          </cell>
          <cell r="F130">
            <v>0</v>
          </cell>
        </row>
        <row r="131">
          <cell r="A131" t="str">
            <v>PASSIVITA' CORRENTI</v>
          </cell>
          <cell r="B131">
            <v>1231119.4609666301</v>
          </cell>
          <cell r="C131">
            <v>564135.49347674823</v>
          </cell>
          <cell r="D131">
            <v>0</v>
          </cell>
          <cell r="E131">
            <v>0</v>
          </cell>
          <cell r="F131">
            <v>0</v>
          </cell>
        </row>
        <row r="133">
          <cell r="A133" t="str">
            <v>Mutui</v>
          </cell>
          <cell r="B133">
            <v>232328.51814346941</v>
          </cell>
          <cell r="C133">
            <v>192910.06892724585</v>
          </cell>
          <cell r="D133">
            <v>147357.12355174753</v>
          </cell>
          <cell r="E133">
            <v>94715.001052187261</v>
          </cell>
          <cell r="F133">
            <v>33880.448238632925</v>
          </cell>
        </row>
        <row r="134">
          <cell r="A134" t="str">
            <v>PASSIVITA' IMMOBILIZZATE</v>
          </cell>
          <cell r="B134">
            <v>232328.51814346941</v>
          </cell>
          <cell r="C134">
            <v>192910.06892724585</v>
          </cell>
          <cell r="D134">
            <v>147357.12355174753</v>
          </cell>
          <cell r="E134">
            <v>94715.001052187261</v>
          </cell>
          <cell r="F134">
            <v>33880.448238632925</v>
          </cell>
        </row>
        <row r="136">
          <cell r="A136" t="str">
            <v>PASSIVITA' TOTALI</v>
          </cell>
          <cell r="B136">
            <v>1463447.9791100996</v>
          </cell>
          <cell r="C136">
            <v>757045.56240399415</v>
          </cell>
          <cell r="D136">
            <v>147357.12355174753</v>
          </cell>
          <cell r="E136">
            <v>94715.001052187261</v>
          </cell>
          <cell r="F136">
            <v>33880.448238632925</v>
          </cell>
        </row>
        <row r="138">
          <cell r="A138" t="str">
            <v>Capitale sociale</v>
          </cell>
          <cell r="B138">
            <v>120000</v>
          </cell>
          <cell r="C138">
            <v>1268903.3316742021</v>
          </cell>
          <cell r="D138">
            <v>1268903.3316742021</v>
          </cell>
          <cell r="E138">
            <v>1268903.3316742021</v>
          </cell>
          <cell r="F138">
            <v>1268903.3316742021</v>
          </cell>
        </row>
        <row r="139">
          <cell r="A139" t="str">
            <v>Riserva legale</v>
          </cell>
          <cell r="B139">
            <v>0</v>
          </cell>
          <cell r="C139">
            <v>0</v>
          </cell>
          <cell r="D139">
            <v>2693.7588798002953</v>
          </cell>
          <cell r="E139">
            <v>66528.880947311744</v>
          </cell>
          <cell r="F139">
            <v>112107.73505544142</v>
          </cell>
        </row>
        <row r="140">
          <cell r="A140" t="str">
            <v>Contributi in c/capitale</v>
          </cell>
          <cell r="B140">
            <v>0</v>
          </cell>
          <cell r="C140">
            <v>0</v>
          </cell>
          <cell r="D140">
            <v>0</v>
          </cell>
          <cell r="E140">
            <v>0</v>
          </cell>
          <cell r="F140">
            <v>0</v>
          </cell>
        </row>
        <row r="141">
          <cell r="A141" t="str">
            <v>Risultati esercizi precedenti</v>
          </cell>
          <cell r="B141">
            <v>0</v>
          </cell>
          <cell r="C141">
            <v>-1148903.3316742021</v>
          </cell>
          <cell r="D141">
            <v>-1097721.9129579966</v>
          </cell>
          <cell r="E141">
            <v>115145.40632472071</v>
          </cell>
          <cell r="F141">
            <v>981143.63437918446</v>
          </cell>
        </row>
        <row r="142">
          <cell r="A142" t="str">
            <v>Risultato netto d'esercizio</v>
          </cell>
          <cell r="B142">
            <v>-1148903.3316742021</v>
          </cell>
          <cell r="C142">
            <v>53875.177596005902</v>
          </cell>
          <cell r="D142">
            <v>1276702.4413502289</v>
          </cell>
          <cell r="E142">
            <v>911577.08216259337</v>
          </cell>
          <cell r="F142">
            <v>1318030.8749513272</v>
          </cell>
        </row>
        <row r="143">
          <cell r="A143" t="str">
            <v>PATRIMONIO NETTO</v>
          </cell>
          <cell r="B143">
            <v>-1028903.3316742021</v>
          </cell>
          <cell r="C143">
            <v>173875.1775960059</v>
          </cell>
          <cell r="D143">
            <v>1450577.6189462347</v>
          </cell>
          <cell r="E143">
            <v>2362154.7011088277</v>
          </cell>
          <cell r="F143">
            <v>3680185.5760601554</v>
          </cell>
        </row>
        <row r="145">
          <cell r="A145" t="str">
            <v>TOTALE PASSIVO E PATRIMONIO NETTO</v>
          </cell>
          <cell r="B145">
            <v>434544.6474358975</v>
          </cell>
          <cell r="C145">
            <v>930920.74</v>
          </cell>
          <cell r="D145">
            <v>1597934.7424979822</v>
          </cell>
          <cell r="E145">
            <v>2456869.702161015</v>
          </cell>
          <cell r="F145">
            <v>3714066.0242987885</v>
          </cell>
        </row>
        <row r="147">
          <cell r="A147" t="str">
            <v>Riga di controllo dei totali dello stato patrimoniale</v>
          </cell>
        </row>
        <row r="148">
          <cell r="A148" t="str">
            <v>CONTROLLO  sp</v>
          </cell>
          <cell r="B148">
            <v>0</v>
          </cell>
          <cell r="C148">
            <v>0</v>
          </cell>
          <cell r="D148">
            <v>0</v>
          </cell>
          <cell r="E148">
            <v>0</v>
          </cell>
          <cell r="F148">
            <v>0</v>
          </cell>
        </row>
        <row r="149">
          <cell r="A149" t="str">
            <v>N.B. i totali di controllo devono essere sempre pari a 0</v>
          </cell>
        </row>
        <row r="151">
          <cell r="A151" t="str">
            <v xml:space="preserve"> PIANO  DI  FINANZIAMENTO  </v>
          </cell>
        </row>
        <row r="152">
          <cell r="A152" t="str">
            <v>PARAMETRI</v>
          </cell>
        </row>
        <row r="153">
          <cell r="B153" t="str">
            <v>START-UP</v>
          </cell>
          <cell r="C153" t="str">
            <v>II ANNO</v>
          </cell>
          <cell r="D153" t="str">
            <v>III ANNO</v>
          </cell>
          <cell r="E153" t="str">
            <v>IV ANNO</v>
          </cell>
          <cell r="F153" t="str">
            <v>V ANNO</v>
          </cell>
        </row>
        <row r="154">
          <cell r="A154" t="str">
            <v>Tasso di interesse passivo a breve</v>
          </cell>
          <cell r="B154">
            <v>0.15</v>
          </cell>
          <cell r="C154">
            <v>0.15</v>
          </cell>
          <cell r="D154">
            <v>0.15</v>
          </cell>
          <cell r="E154">
            <v>0.15</v>
          </cell>
          <cell r="F154">
            <v>0.15</v>
          </cell>
        </row>
        <row r="155">
          <cell r="A155" t="str">
            <v>Tasso di interesse passivo a medio</v>
          </cell>
          <cell r="B155">
            <v>0.15</v>
          </cell>
          <cell r="C155">
            <v>0.15</v>
          </cell>
          <cell r="D155">
            <v>0.15</v>
          </cell>
          <cell r="E155">
            <v>0.15</v>
          </cell>
          <cell r="F155">
            <v>0.15</v>
          </cell>
        </row>
        <row r="156">
          <cell r="A156" t="str">
            <v>Tasso di interesse attivo a breve</v>
          </cell>
          <cell r="B156">
            <v>0.1</v>
          </cell>
          <cell r="C156">
            <v>0.1</v>
          </cell>
          <cell r="D156">
            <v>0.1</v>
          </cell>
          <cell r="E156">
            <v>0.1</v>
          </cell>
          <cell r="F156">
            <v>0.1</v>
          </cell>
        </row>
        <row r="157">
          <cell r="A157" t="str">
            <v>ROE minimo da assicurare agli azionisti</v>
          </cell>
          <cell r="B157">
            <v>0.15</v>
          </cell>
          <cell r="C157">
            <v>0.15</v>
          </cell>
          <cell r="D157">
            <v>0.15</v>
          </cell>
          <cell r="E157">
            <v>0.15</v>
          </cell>
          <cell r="F157">
            <v>0.15</v>
          </cell>
        </row>
        <row r="158">
          <cell r="A158" t="str">
            <v xml:space="preserve">Cap. soc. min. per tipo società scelto </v>
          </cell>
          <cell r="B158">
            <v>120000</v>
          </cell>
          <cell r="C158">
            <v>120000</v>
          </cell>
          <cell r="D158">
            <v>120000</v>
          </cell>
          <cell r="E158">
            <v>120000</v>
          </cell>
          <cell r="F158">
            <v>120000</v>
          </cell>
        </row>
        <row r="159">
          <cell r="A159" t="str">
            <v>Tasso Autofinanziamento (attenzione max 100%)</v>
          </cell>
          <cell r="B159">
            <v>1</v>
          </cell>
          <cell r="C159">
            <v>1</v>
          </cell>
          <cell r="D159">
            <v>1</v>
          </cell>
          <cell r="E159">
            <v>1</v>
          </cell>
        </row>
        <row r="160">
          <cell r="A160" t="str">
            <v>Aliquota % di Imposte</v>
          </cell>
          <cell r="B160">
            <v>0.52</v>
          </cell>
          <cell r="C160">
            <v>0.52</v>
          </cell>
          <cell r="D160">
            <v>0.52</v>
          </cell>
          <cell r="E160">
            <v>0.52</v>
          </cell>
          <cell r="F160">
            <v>0.52</v>
          </cell>
        </row>
        <row r="161">
          <cell r="A161" t="str">
            <v>% di acconto imposta su anno precedente</v>
          </cell>
          <cell r="B161">
            <v>0.98</v>
          </cell>
          <cell r="C161">
            <v>0.98</v>
          </cell>
          <cell r="D161">
            <v>0.98</v>
          </cell>
          <cell r="E161">
            <v>0.98</v>
          </cell>
          <cell r="F161">
            <v>0.98</v>
          </cell>
        </row>
        <row r="162">
          <cell r="A162" t="str">
            <v>% di rata acconto da versare a maggio</v>
          </cell>
          <cell r="B162">
            <v>0.4</v>
          </cell>
          <cell r="C162">
            <v>0.4</v>
          </cell>
          <cell r="D162">
            <v>0.4</v>
          </cell>
          <cell r="E162">
            <v>0.4</v>
          </cell>
          <cell r="F162">
            <v>0.4</v>
          </cell>
        </row>
        <row r="163">
          <cell r="A163" t="str">
            <v>% di rata acconto da versare a novembre</v>
          </cell>
          <cell r="B163">
            <v>0.6</v>
          </cell>
          <cell r="C163">
            <v>0.6</v>
          </cell>
          <cell r="D163">
            <v>0.6</v>
          </cell>
          <cell r="E163">
            <v>0.6</v>
          </cell>
          <cell r="F163">
            <v>0.6</v>
          </cell>
        </row>
        <row r="164">
          <cell r="A164" t="str">
            <v>Erogazioni di Contributi in c/capitale</v>
          </cell>
          <cell r="B164">
            <v>0</v>
          </cell>
          <cell r="C164">
            <v>0</v>
          </cell>
          <cell r="D164">
            <v>0</v>
          </cell>
          <cell r="E164">
            <v>0</v>
          </cell>
          <cell r="F164">
            <v>0</v>
          </cell>
        </row>
        <row r="165">
          <cell r="A165" t="str">
            <v>Erogazioni di Contributi in c/gestione</v>
          </cell>
          <cell r="B165">
            <v>0</v>
          </cell>
          <cell r="C165">
            <v>0</v>
          </cell>
          <cell r="D165">
            <v>0</v>
          </cell>
          <cell r="E165">
            <v>0</v>
          </cell>
          <cell r="F165">
            <v>0</v>
          </cell>
        </row>
        <row r="166">
          <cell r="A166" t="str">
            <v>Rapporto di indebitamento (sul Patrimonio Netto)</v>
          </cell>
          <cell r="B166">
            <v>1.3</v>
          </cell>
          <cell r="C166">
            <v>1.65</v>
          </cell>
          <cell r="D166">
            <v>1.8</v>
          </cell>
          <cell r="E166">
            <v>1.8</v>
          </cell>
          <cell r="F166">
            <v>1.8</v>
          </cell>
        </row>
        <row r="169">
          <cell r="A169" t="str">
            <v>FABBISOGNO DI CASSA</v>
          </cell>
        </row>
        <row r="170">
          <cell r="B170" t="str">
            <v>START-UP</v>
          </cell>
          <cell r="C170" t="str">
            <v>II ANNO</v>
          </cell>
          <cell r="D170" t="str">
            <v>III ANNO</v>
          </cell>
          <cell r="E170" t="str">
            <v>IV ANNO</v>
          </cell>
          <cell r="F170" t="str">
            <v>V ANNO</v>
          </cell>
        </row>
        <row r="171">
          <cell r="A171" t="str">
            <v>FABBISOGNO (ECCEDENZA) OPERATIVO:</v>
          </cell>
        </row>
        <row r="172">
          <cell r="A172" t="str">
            <v>Variazione liquidità desiderata</v>
          </cell>
          <cell r="B172">
            <v>5000</v>
          </cell>
          <cell r="C172">
            <v>0</v>
          </cell>
          <cell r="D172">
            <v>0</v>
          </cell>
          <cell r="E172">
            <v>0</v>
          </cell>
          <cell r="F172">
            <v>0</v>
          </cell>
        </row>
        <row r="173">
          <cell r="A173" t="str">
            <v>Variazione cap. circolante operativo netto</v>
          </cell>
          <cell r="B173">
            <v>-36315.352564102577</v>
          </cell>
          <cell r="C173">
            <v>509854.15256410249</v>
          </cell>
          <cell r="D173">
            <v>792253.67833333358</v>
          </cell>
          <cell r="E173">
            <v>450003.98724999977</v>
          </cell>
          <cell r="F173">
            <v>510158.12211850053</v>
          </cell>
        </row>
        <row r="174">
          <cell r="A174" t="str">
            <v>Investimenti  in capitale fisso effettuati nell'anno</v>
          </cell>
          <cell r="B174">
            <v>557500</v>
          </cell>
          <cell r="C174">
            <v>163800</v>
          </cell>
          <cell r="D174">
            <v>254100</v>
          </cell>
          <cell r="E174">
            <v>262500</v>
          </cell>
          <cell r="F174">
            <v>233100</v>
          </cell>
        </row>
        <row r="175">
          <cell r="A175" t="str">
            <v>(+/-) Cash Flow</v>
          </cell>
          <cell r="B175">
            <v>946660</v>
          </cell>
          <cell r="C175">
            <v>-416561.99999999994</v>
          </cell>
          <cell r="D175">
            <v>-1797055.0799999998</v>
          </cell>
          <cell r="E175">
            <v>-2182766.3242500005</v>
          </cell>
          <cell r="F175">
            <v>-3001209.0451602503</v>
          </cell>
        </row>
        <row r="176">
          <cell r="A176" t="str">
            <v>TOTALE</v>
          </cell>
          <cell r="B176">
            <v>1472844.6474358975</v>
          </cell>
          <cell r="C176">
            <v>257092.15256410261</v>
          </cell>
          <cell r="D176">
            <v>-750701.40166666626</v>
          </cell>
          <cell r="E176">
            <v>-1470262.3370000008</v>
          </cell>
          <cell r="F176">
            <v>-2257950.9230417497</v>
          </cell>
        </row>
        <row r="178">
          <cell r="A178" t="str">
            <v>FABBISOGNO(ECCEDENZA) EXTRA-OPERATIVO:</v>
          </cell>
        </row>
        <row r="179">
          <cell r="A179" t="str">
            <v xml:space="preserve">  Delta Crediti/Debiti diversi</v>
          </cell>
          <cell r="B179">
            <v>0</v>
          </cell>
          <cell r="C179">
            <v>0</v>
          </cell>
          <cell r="D179">
            <v>0</v>
          </cell>
          <cell r="E179">
            <v>0</v>
          </cell>
          <cell r="F179">
            <v>0</v>
          </cell>
        </row>
        <row r="180">
          <cell r="A180" t="str">
            <v xml:space="preserve">  Rimborso debiti m/l</v>
          </cell>
          <cell r="B180">
            <v>17671.48185653059</v>
          </cell>
          <cell r="C180">
            <v>39418.449216223547</v>
          </cell>
          <cell r="D180">
            <v>45552.945375498341</v>
          </cell>
          <cell r="E180">
            <v>52642.122499560268</v>
          </cell>
          <cell r="F180">
            <v>60834.552813554335</v>
          </cell>
        </row>
        <row r="181">
          <cell r="A181" t="str">
            <v xml:space="preserve">  Interessi (proventi) provvisori</v>
          </cell>
          <cell r="B181">
            <v>18750</v>
          </cell>
          <cell r="C181">
            <v>231942.52757770673</v>
          </cell>
          <cell r="D181">
            <v>118256.86666068849</v>
          </cell>
          <cell r="E181">
            <v>13523.544675899197</v>
          </cell>
          <cell r="F181">
            <v>-101181.44461882819</v>
          </cell>
        </row>
        <row r="182">
          <cell r="A182" t="str">
            <v xml:space="preserve">  Dividendi programmati</v>
          </cell>
          <cell r="B182">
            <v>0</v>
          </cell>
          <cell r="C182">
            <v>0</v>
          </cell>
          <cell r="D182">
            <v>0</v>
          </cell>
          <cell r="E182">
            <v>0</v>
          </cell>
          <cell r="F182">
            <v>0</v>
          </cell>
        </row>
        <row r="183">
          <cell r="A183" t="str">
            <v xml:space="preserve">  Rimborso Capitale Sociale</v>
          </cell>
          <cell r="B183">
            <v>0</v>
          </cell>
          <cell r="C183">
            <v>0</v>
          </cell>
          <cell r="D183">
            <v>0</v>
          </cell>
          <cell r="E183">
            <v>0</v>
          </cell>
          <cell r="F183">
            <v>0</v>
          </cell>
        </row>
        <row r="184">
          <cell r="A184" t="str">
            <v xml:space="preserve">  Imposte</v>
          </cell>
          <cell r="B184">
            <v>0</v>
          </cell>
          <cell r="C184">
            <v>0</v>
          </cell>
          <cell r="D184">
            <v>0</v>
          </cell>
          <cell r="E184">
            <v>389691.3461985098</v>
          </cell>
          <cell r="F184">
            <v>1762455.3062516218</v>
          </cell>
        </row>
        <row r="185">
          <cell r="A185" t="str">
            <v>TOTALE</v>
          </cell>
          <cell r="B185">
            <v>36421.48185653059</v>
          </cell>
          <cell r="C185">
            <v>271360.97679393028</v>
          </cell>
          <cell r="D185">
            <v>163809.81203618684</v>
          </cell>
          <cell r="E185">
            <v>455857.01337396924</v>
          </cell>
          <cell r="F185">
            <v>1722108.4144463479</v>
          </cell>
        </row>
        <row r="187">
          <cell r="A187" t="str">
            <v>TOTALE FABBISOGNO(ECCEDENZA) FINANZIARIA PROVVISORIA</v>
          </cell>
          <cell r="B187">
            <v>1509266.129292428</v>
          </cell>
          <cell r="C187">
            <v>528453.12935803295</v>
          </cell>
          <cell r="D187">
            <v>-586891.58963047946</v>
          </cell>
          <cell r="E187">
            <v>-1014405.3236260315</v>
          </cell>
          <cell r="F187">
            <v>-535842.50859540189</v>
          </cell>
        </row>
        <row r="189">
          <cell r="A189" t="str">
            <v>MODALITA' DI COPERTURA (IMPIEGO) PROVVISORIA:</v>
          </cell>
        </row>
        <row r="190">
          <cell r="A190" t="str">
            <v>Erogazioni di Contributi in c/capitale</v>
          </cell>
          <cell r="B190">
            <v>0</v>
          </cell>
          <cell r="C190">
            <v>0</v>
          </cell>
          <cell r="D190">
            <v>0</v>
          </cell>
          <cell r="E190">
            <v>0</v>
          </cell>
          <cell r="F190">
            <v>0</v>
          </cell>
        </row>
        <row r="191">
          <cell r="A191" t="str">
            <v>Erogazioni di Contributi in c/gestione</v>
          </cell>
          <cell r="B191">
            <v>0</v>
          </cell>
          <cell r="C191">
            <v>0</v>
          </cell>
          <cell r="D191">
            <v>0</v>
          </cell>
          <cell r="E191">
            <v>0</v>
          </cell>
          <cell r="F191">
            <v>0</v>
          </cell>
        </row>
        <row r="192">
          <cell r="A192" t="str">
            <v>&gt; MANOVRA FINANZIARIA:</v>
          </cell>
        </row>
        <row r="193">
          <cell r="A193" t="str">
            <v>Versamento obbligatorio capitale sociale</v>
          </cell>
          <cell r="B193">
            <v>120000</v>
          </cell>
          <cell r="C193">
            <v>1148903.3316742021</v>
          </cell>
          <cell r="D193">
            <v>0</v>
          </cell>
          <cell r="E193">
            <v>0</v>
          </cell>
          <cell r="F193">
            <v>0</v>
          </cell>
        </row>
        <row r="194">
          <cell r="A194" t="str">
            <v>Ulteriori versamenti capitale sociale</v>
          </cell>
        </row>
        <row r="195">
          <cell r="A195" t="str">
            <v>Mezzi di terzi:</v>
          </cell>
        </row>
        <row r="196">
          <cell r="A196" t="str">
            <v>* a M/L termine</v>
          </cell>
          <cell r="B196">
            <v>250000</v>
          </cell>
        </row>
        <row r="197">
          <cell r="A197" t="str">
            <v>* a Breve termine</v>
          </cell>
          <cell r="B197">
            <v>1139266.129292428</v>
          </cell>
          <cell r="C197">
            <v>-620450.20231616916</v>
          </cell>
          <cell r="D197">
            <v>-586891.58963047946</v>
          </cell>
          <cell r="E197">
            <v>-1014405.3236260315</v>
          </cell>
          <cell r="F197">
            <v>-535842.50859540189</v>
          </cell>
        </row>
        <row r="198">
          <cell r="A198" t="str">
            <v>TOT. FONTI (IMPIEGHI) PROVVISORIE</v>
          </cell>
          <cell r="B198">
            <v>1509266.129292428</v>
          </cell>
          <cell r="C198">
            <v>528453.12935803295</v>
          </cell>
          <cell r="D198">
            <v>-586891.58963047946</v>
          </cell>
          <cell r="E198">
            <v>-1014405.3236260315</v>
          </cell>
          <cell r="F198">
            <v>-535842.50859540189</v>
          </cell>
        </row>
        <row r="200">
          <cell r="A200" t="str">
            <v>ULTERIORE FABBISOGNO (ECCEDENZA) X ONERI FINANZ.:</v>
          </cell>
        </row>
        <row r="201">
          <cell r="A201" t="str">
            <v>Int. passivi (proventi) su M.T.(eccedenza) medi</v>
          </cell>
          <cell r="B201">
            <v>85444.959696932099</v>
          </cell>
          <cell r="C201">
            <v>-46533.765173712687</v>
          </cell>
          <cell r="D201">
            <v>-44016.869222285961</v>
          </cell>
          <cell r="E201">
            <v>-50720.26618130158</v>
          </cell>
          <cell r="F201">
            <v>-26792.125429770094</v>
          </cell>
        </row>
        <row r="202">
          <cell r="A202" t="str">
            <v>Interessi su interessi</v>
          </cell>
          <cell r="B202">
            <v>6408.3719772699069</v>
          </cell>
          <cell r="C202">
            <v>0</v>
          </cell>
          <cell r="D202">
            <v>0</v>
          </cell>
          <cell r="E202">
            <v>0</v>
          </cell>
          <cell r="F202">
            <v>0</v>
          </cell>
        </row>
        <row r="203">
          <cell r="A203" t="str">
            <v>MODALITA' DI COPERTURA (IMPIEGO) ULT. FABBIS.:</v>
          </cell>
        </row>
        <row r="204">
          <cell r="A204" t="str">
            <v>Banca c/c</v>
          </cell>
          <cell r="B204">
            <v>91853.331674202011</v>
          </cell>
          <cell r="C204">
            <v>-46533.765173712687</v>
          </cell>
          <cell r="D204">
            <v>-44016.869222285961</v>
          </cell>
          <cell r="E204">
            <v>-50720.26618130158</v>
          </cell>
          <cell r="F204">
            <v>-26792.125429770094</v>
          </cell>
        </row>
        <row r="205">
          <cell r="A205" t="str">
            <v>SALDO FINALE C/C  BANCARIO</v>
          </cell>
          <cell r="B205">
            <v>1231119.4609666301</v>
          </cell>
          <cell r="C205">
            <v>564135.49347674823</v>
          </cell>
          <cell r="D205">
            <v>-66772.96537601715</v>
          </cell>
          <cell r="E205">
            <v>-1131898.5551833503</v>
          </cell>
          <cell r="F205">
            <v>-1694533.1892085224</v>
          </cell>
        </row>
        <row r="209">
          <cell r="A209" t="str">
            <v>VALUTAZIONE DELLA FATTIBILITA' FINANZIARIA</v>
          </cell>
        </row>
        <row r="211">
          <cell r="A211" t="str">
            <v>STRUTTURA DEFINITIVA DELLE FONTI DI FINANZIAMENTO</v>
          </cell>
        </row>
        <row r="212">
          <cell r="B212" t="str">
            <v>START-UP</v>
          </cell>
          <cell r="C212" t="str">
            <v>II ANNO</v>
          </cell>
          <cell r="D212" t="str">
            <v>III ANNO</v>
          </cell>
          <cell r="E212" t="str">
            <v>IV ANNO</v>
          </cell>
          <cell r="F212" t="str">
            <v>V ANNO</v>
          </cell>
        </row>
        <row r="213">
          <cell r="A213" t="str">
            <v>C/C  BANCARIO</v>
          </cell>
          <cell r="B213">
            <v>1231119.4609666301</v>
          </cell>
          <cell r="C213">
            <v>564135.49347674823</v>
          </cell>
          <cell r="D213">
            <v>0</v>
          </cell>
          <cell r="E213">
            <v>0</v>
          </cell>
          <cell r="F213">
            <v>0</v>
          </cell>
        </row>
        <row r="214">
          <cell r="A214" t="str">
            <v>DEBITI M/L TERMINE</v>
          </cell>
          <cell r="B214">
            <v>232328.51814346941</v>
          </cell>
          <cell r="C214">
            <v>192910.06892724585</v>
          </cell>
          <cell r="D214">
            <v>147357.12355174753</v>
          </cell>
          <cell r="E214">
            <v>94715.001052187261</v>
          </cell>
          <cell r="F214">
            <v>33880.448238632925</v>
          </cell>
        </row>
        <row r="215">
          <cell r="A215" t="str">
            <v>MEZZI PROPRI</v>
          </cell>
          <cell r="B215">
            <v>-1028903.3316742021</v>
          </cell>
          <cell r="C215">
            <v>173875.1775960059</v>
          </cell>
          <cell r="D215">
            <v>1450577.6189462347</v>
          </cell>
          <cell r="E215">
            <v>2362154.7011088277</v>
          </cell>
          <cell r="F215">
            <v>3680185.5760601554</v>
          </cell>
        </row>
        <row r="216">
          <cell r="A216" t="str">
            <v>DEBITI DIVERSI</v>
          </cell>
          <cell r="B216">
            <v>5.0000000000000001E-3</v>
          </cell>
          <cell r="C216">
            <v>5.0000000000000001E-3</v>
          </cell>
          <cell r="D216">
            <v>5.0000000000000001E-3</v>
          </cell>
          <cell r="E216">
            <v>5.0000000000000001E-3</v>
          </cell>
          <cell r="F216">
            <v>5.0000000000000001E-3</v>
          </cell>
        </row>
        <row r="217">
          <cell r="A217" t="str">
            <v>&gt;&gt; TOTALE FONTI</v>
          </cell>
          <cell r="B217">
            <v>434544.6524358975</v>
          </cell>
          <cell r="C217">
            <v>930920.745</v>
          </cell>
          <cell r="D217">
            <v>1597934.7474979821</v>
          </cell>
          <cell r="E217">
            <v>2456869.7071610149</v>
          </cell>
          <cell r="F217">
            <v>3714066.0292987884</v>
          </cell>
        </row>
        <row r="219">
          <cell r="A219" t="str">
            <v>RISERVA ( INCOMPATIBILITA') FINANZIARIA</v>
          </cell>
          <cell r="B219">
            <v>-1463447.9791100996</v>
          </cell>
          <cell r="C219">
            <v>-470151.5243705844</v>
          </cell>
          <cell r="D219">
            <v>2463682.5855514747</v>
          </cell>
          <cell r="E219">
            <v>4157163.4559437032</v>
          </cell>
          <cell r="F219">
            <v>6590453.5836696476</v>
          </cell>
        </row>
        <row r="221">
          <cell r="A221" t="str">
            <v>COMPOSIZIONE % DELLE FONTI</v>
          </cell>
        </row>
        <row r="222">
          <cell r="A222" t="str">
            <v>C/C  BANCARIO</v>
          </cell>
          <cell r="B222">
            <v>2.8331253280081281</v>
          </cell>
          <cell r="C222">
            <v>0.60599733812651069</v>
          </cell>
          <cell r="D222">
            <v>0</v>
          </cell>
          <cell r="E222">
            <v>0</v>
          </cell>
          <cell r="F222">
            <v>0</v>
          </cell>
        </row>
        <row r="223">
          <cell r="A223" t="str">
            <v>DEBITI M/L TERMINE</v>
          </cell>
          <cell r="B223">
            <v>0.53464820437007143</v>
          </cell>
          <cell r="C223">
            <v>0.20722501884652475</v>
          </cell>
          <cell r="D223">
            <v>9.2217234641449972E-2</v>
          </cell>
          <cell r="E223">
            <v>3.8551088312140581E-2</v>
          </cell>
          <cell r="F223">
            <v>9.1221986823507052E-3</v>
          </cell>
        </row>
        <row r="224">
          <cell r="A224" t="str">
            <v>MEZZI PROPRI</v>
          </cell>
          <cell r="B224">
            <v>-2.3677735438844971</v>
          </cell>
          <cell r="C224">
            <v>0.18677763765593805</v>
          </cell>
          <cell r="D224">
            <v>0.90778276222951115</v>
          </cell>
          <cell r="E224">
            <v>0.96144890965274954</v>
          </cell>
          <cell r="F224">
            <v>0.99087779997141578</v>
          </cell>
        </row>
        <row r="225">
          <cell r="A225" t="str">
            <v>DEBITI DIVERSI</v>
          </cell>
          <cell r="B225">
            <v>1.1506297389628059E-8</v>
          </cell>
          <cell r="C225">
            <v>5.3710265098883362E-9</v>
          </cell>
          <cell r="D225">
            <v>3.1290389096481638E-9</v>
          </cell>
          <cell r="E225">
            <v>2.0351099553332222E-9</v>
          </cell>
          <cell r="F225">
            <v>1.3462334704221708E-9</v>
          </cell>
        </row>
        <row r="226">
          <cell r="A226" t="str">
            <v>&gt;&gt; TOTALE FONTI</v>
          </cell>
          <cell r="B226">
            <v>1</v>
          </cell>
          <cell r="C226">
            <v>1</v>
          </cell>
          <cell r="D226">
            <v>1</v>
          </cell>
          <cell r="E226">
            <v>1</v>
          </cell>
          <cell r="F226">
            <v>1</v>
          </cell>
        </row>
        <row r="228">
          <cell r="A228" t="str">
            <v>ROI MINIMO</v>
          </cell>
          <cell r="B228">
            <v>0.50516602985672998</v>
          </cell>
          <cell r="C228">
            <v>0.18035136531343596</v>
          </cell>
          <cell r="D228">
            <v>0.2975146983929397</v>
          </cell>
          <cell r="E228">
            <v>0.30623544751330534</v>
          </cell>
          <cell r="F228">
            <v>0.31101764229342005</v>
          </cell>
        </row>
        <row r="229">
          <cell r="A229" t="str">
            <v>ROI (configurazione RONA)</v>
          </cell>
          <cell r="B229">
            <v>-2.3893977434232845</v>
          </cell>
          <cell r="C229">
            <v>0.25704007840667503</v>
          </cell>
          <cell r="D229">
            <v>0.96859790881100671</v>
          </cell>
          <cell r="E229">
            <v>0.75784328246180765</v>
          </cell>
          <cell r="F229">
            <v>0.70486740649535484</v>
          </cell>
        </row>
        <row r="230">
          <cell r="A230" t="str">
            <v xml:space="preserve">DELTA ROI rispetto a MINIMO </v>
          </cell>
          <cell r="B230">
            <v>-2.8945637732800145</v>
          </cell>
          <cell r="C230">
            <v>7.6688713093239075E-2</v>
          </cell>
          <cell r="D230">
            <v>0.67108321041806707</v>
          </cell>
          <cell r="E230">
            <v>0.45160783494850232</v>
          </cell>
          <cell r="F230">
            <v>0.39384976420193479</v>
          </cell>
        </row>
        <row r="233">
          <cell r="A233" t="str">
            <v>DETERMINAZIONE DEL CASH FLOW</v>
          </cell>
        </row>
        <row r="234">
          <cell r="B234" t="str">
            <v>START-UP</v>
          </cell>
          <cell r="C234" t="str">
            <v>II ANNO</v>
          </cell>
          <cell r="D234" t="str">
            <v>III ANNO</v>
          </cell>
          <cell r="E234" t="str">
            <v>IV ANNO</v>
          </cell>
          <cell r="F234" t="str">
            <v>V ANNO</v>
          </cell>
        </row>
        <row r="236">
          <cell r="A236" t="str">
            <v>REDDITO OPERATIVO</v>
          </cell>
          <cell r="B236">
            <v>-1038300</v>
          </cell>
          <cell r="C236">
            <v>239283.93999999994</v>
          </cell>
          <cell r="D236">
            <v>1547756.25</v>
          </cell>
          <cell r="E236">
            <v>1861922.1996666673</v>
          </cell>
          <cell r="F236">
            <v>2617924.0861000004</v>
          </cell>
        </row>
        <row r="237">
          <cell r="A237" t="str">
            <v xml:space="preserve"> +  AMMORTAMENTI</v>
          </cell>
          <cell r="B237">
            <v>55300</v>
          </cell>
          <cell r="C237">
            <v>126980</v>
          </cell>
          <cell r="D237">
            <v>168770</v>
          </cell>
          <cell r="E237">
            <v>220430</v>
          </cell>
          <cell r="F237">
            <v>269990</v>
          </cell>
        </row>
        <row r="238">
          <cell r="A238" t="str">
            <v xml:space="preserve"> Delta T.F.R.</v>
          </cell>
          <cell r="B238">
            <v>36340</v>
          </cell>
          <cell r="C238">
            <v>48782</v>
          </cell>
          <cell r="D238">
            <v>76738.679999999993</v>
          </cell>
          <cell r="E238">
            <v>95360.591249999998</v>
          </cell>
          <cell r="F238">
            <v>106851.70406024996</v>
          </cell>
        </row>
        <row r="239">
          <cell r="A239" t="str">
            <v xml:space="preserve"> Delta Fondo  SVALUT. CREDITI</v>
          </cell>
          <cell r="B239">
            <v>0</v>
          </cell>
          <cell r="C239">
            <v>1516.06</v>
          </cell>
          <cell r="D239">
            <v>3790.15</v>
          </cell>
          <cell r="E239">
            <v>5053.5333333333328</v>
          </cell>
          <cell r="F239">
            <v>6443.2550000000001</v>
          </cell>
        </row>
        <row r="240">
          <cell r="A240" t="str">
            <v>CASH FLOW</v>
          </cell>
          <cell r="B240">
            <v>-946660</v>
          </cell>
          <cell r="C240">
            <v>416561.99999999994</v>
          </cell>
          <cell r="D240">
            <v>1797055.0799999998</v>
          </cell>
          <cell r="E240">
            <v>2182766.3242500005</v>
          </cell>
          <cell r="F240">
            <v>3001209.0451602503</v>
          </cell>
        </row>
        <row r="243">
          <cell r="A243" t="str">
            <v>PIANI DI AMMORTAMENTO DEI MUTUI (N.B. il mutuo si considera acceso a metà anno)</v>
          </cell>
        </row>
        <row r="244">
          <cell r="B244" t="str">
            <v>START-UP</v>
          </cell>
          <cell r="C244" t="str">
            <v>II ANNO</v>
          </cell>
          <cell r="D244" t="str">
            <v>III ANNO</v>
          </cell>
          <cell r="E244" t="str">
            <v>IV ANNO</v>
          </cell>
          <cell r="F244" t="str">
            <v>V ANNO</v>
          </cell>
        </row>
        <row r="246">
          <cell r="A246" t="str">
            <v>Capitale iniziale</v>
          </cell>
          <cell r="B246">
            <v>250000</v>
          </cell>
          <cell r="C246">
            <v>232328.51814346941</v>
          </cell>
          <cell r="D246">
            <v>192910.06892724585</v>
          </cell>
          <cell r="E246">
            <v>147357.12355174753</v>
          </cell>
          <cell r="F246">
            <v>94715.001052187261</v>
          </cell>
        </row>
        <row r="247">
          <cell r="A247" t="str">
            <v>Rata di ammortamento semestrale</v>
          </cell>
          <cell r="B247">
            <v>36421.48185653059</v>
          </cell>
          <cell r="C247">
            <v>36421.48185653059</v>
          </cell>
          <cell r="D247">
            <v>36421.48185653059</v>
          </cell>
          <cell r="E247">
            <v>36421.48185653059</v>
          </cell>
          <cell r="F247">
            <v>36421.48185653059</v>
          </cell>
        </row>
        <row r="248">
          <cell r="A248" t="str">
            <v>Quota interessi I Semestre</v>
          </cell>
          <cell r="C248">
            <v>17424.638860760206</v>
          </cell>
          <cell r="D248">
            <v>14468.255169543439</v>
          </cell>
          <cell r="E248">
            <v>11051.784266381064</v>
          </cell>
          <cell r="F248">
            <v>7103.625078914044</v>
          </cell>
        </row>
        <row r="249">
          <cell r="A249" t="str">
            <v>Quota Capitale I Semestre</v>
          </cell>
          <cell r="C249">
            <v>18996.842995770385</v>
          </cell>
          <cell r="D249">
            <v>21953.226686987153</v>
          </cell>
          <cell r="E249">
            <v>25369.697590149524</v>
          </cell>
          <cell r="F249">
            <v>29317.856777616547</v>
          </cell>
        </row>
        <row r="250">
          <cell r="A250" t="str">
            <v>Quota interessi II semestre</v>
          </cell>
          <cell r="B250">
            <v>18750</v>
          </cell>
          <cell r="C250">
            <v>15999.875636077426</v>
          </cell>
          <cell r="D250">
            <v>12821.763168019403</v>
          </cell>
          <cell r="E250">
            <v>9149.0569471198487</v>
          </cell>
          <cell r="F250">
            <v>4904.7858205928032</v>
          </cell>
        </row>
        <row r="251">
          <cell r="A251" t="str">
            <v>Quota Capitale II Semestre</v>
          </cell>
          <cell r="B251">
            <v>17671.48185653059</v>
          </cell>
          <cell r="C251">
            <v>20421.606220453163</v>
          </cell>
          <cell r="D251">
            <v>23599.718688511188</v>
          </cell>
          <cell r="E251">
            <v>27272.424909410744</v>
          </cell>
          <cell r="F251">
            <v>31516.696035937788</v>
          </cell>
        </row>
        <row r="253">
          <cell r="B253" t="str">
            <v>START-UP</v>
          </cell>
          <cell r="C253" t="str">
            <v>II ANNO</v>
          </cell>
          <cell r="D253" t="str">
            <v>III ANNO</v>
          </cell>
          <cell r="E253" t="str">
            <v>IV ANNO</v>
          </cell>
          <cell r="F253" t="str">
            <v>V ANNO</v>
          </cell>
        </row>
        <row r="255">
          <cell r="A255" t="str">
            <v>Capitale iniziale</v>
          </cell>
          <cell r="C255">
            <v>0</v>
          </cell>
          <cell r="D255">
            <v>0</v>
          </cell>
          <cell r="E255">
            <v>0</v>
          </cell>
          <cell r="F255">
            <v>0</v>
          </cell>
        </row>
        <row r="256">
          <cell r="A256" t="str">
            <v>Rata di ammortamento semestrale</v>
          </cell>
          <cell r="C256">
            <v>0</v>
          </cell>
          <cell r="D256">
            <v>0</v>
          </cell>
          <cell r="E256">
            <v>0</v>
          </cell>
          <cell r="F256">
            <v>0</v>
          </cell>
        </row>
        <row r="257">
          <cell r="A257" t="str">
            <v>Quota interessi I Semestre</v>
          </cell>
          <cell r="D257">
            <v>0</v>
          </cell>
          <cell r="E257">
            <v>0</v>
          </cell>
          <cell r="F257">
            <v>0</v>
          </cell>
        </row>
        <row r="258">
          <cell r="A258" t="str">
            <v>Quota Capitale I Semestre</v>
          </cell>
          <cell r="D258">
            <v>0</v>
          </cell>
          <cell r="E258">
            <v>0</v>
          </cell>
          <cell r="F258">
            <v>0</v>
          </cell>
        </row>
        <row r="259">
          <cell r="A259" t="str">
            <v>Quota interessi II semestre</v>
          </cell>
          <cell r="C259">
            <v>0</v>
          </cell>
          <cell r="D259">
            <v>0</v>
          </cell>
          <cell r="E259">
            <v>0</v>
          </cell>
          <cell r="F259">
            <v>0</v>
          </cell>
        </row>
        <row r="260">
          <cell r="A260" t="str">
            <v>Quota Capitale II Semestre</v>
          </cell>
          <cell r="C260">
            <v>0</v>
          </cell>
          <cell r="D260">
            <v>0</v>
          </cell>
          <cell r="E260">
            <v>0</v>
          </cell>
          <cell r="F260">
            <v>0</v>
          </cell>
        </row>
        <row r="262">
          <cell r="B262" t="str">
            <v>START-UP</v>
          </cell>
          <cell r="C262" t="str">
            <v>II ANNO</v>
          </cell>
          <cell r="D262" t="str">
            <v>III ANNO</v>
          </cell>
          <cell r="E262" t="str">
            <v>IV ANNO</v>
          </cell>
          <cell r="F262" t="str">
            <v>V ANNO</v>
          </cell>
        </row>
        <row r="264">
          <cell r="A264" t="str">
            <v>Capitale iniziale</v>
          </cell>
          <cell r="D264">
            <v>0</v>
          </cell>
          <cell r="E264">
            <v>0</v>
          </cell>
          <cell r="F264">
            <v>0</v>
          </cell>
        </row>
        <row r="265">
          <cell r="A265" t="str">
            <v>Rata di ammortamento semestrale</v>
          </cell>
          <cell r="D265">
            <v>0</v>
          </cell>
          <cell r="E265">
            <v>0</v>
          </cell>
          <cell r="F265">
            <v>0</v>
          </cell>
        </row>
        <row r="266">
          <cell r="A266" t="str">
            <v>Quota interessi I Semestre</v>
          </cell>
          <cell r="E266">
            <v>0</v>
          </cell>
          <cell r="F266">
            <v>0</v>
          </cell>
        </row>
        <row r="267">
          <cell r="A267" t="str">
            <v>Quota Capitale I Semestre</v>
          </cell>
          <cell r="E267">
            <v>0</v>
          </cell>
          <cell r="F267">
            <v>0</v>
          </cell>
        </row>
        <row r="268">
          <cell r="A268" t="str">
            <v>Quota interessi II semestre</v>
          </cell>
          <cell r="D268">
            <v>0</v>
          </cell>
          <cell r="E268">
            <v>0</v>
          </cell>
          <cell r="F268">
            <v>0</v>
          </cell>
        </row>
        <row r="269">
          <cell r="A269" t="str">
            <v>Quota Capitale II Semestre</v>
          </cell>
          <cell r="D269">
            <v>0</v>
          </cell>
          <cell r="E269">
            <v>0</v>
          </cell>
          <cell r="F269">
            <v>0</v>
          </cell>
        </row>
        <row r="272">
          <cell r="B272" t="str">
            <v>START-UP</v>
          </cell>
          <cell r="C272" t="str">
            <v>II ANNO</v>
          </cell>
          <cell r="D272" t="str">
            <v>III ANNO</v>
          </cell>
          <cell r="E272" t="str">
            <v>IV ANNO</v>
          </cell>
          <cell r="F272" t="str">
            <v>V ANNO</v>
          </cell>
        </row>
        <row r="274">
          <cell r="A274" t="str">
            <v>Capitale iniziale</v>
          </cell>
          <cell r="E274">
            <v>0</v>
          </cell>
          <cell r="F274">
            <v>0</v>
          </cell>
        </row>
        <row r="275">
          <cell r="A275" t="str">
            <v>Rata di ammortamento semestrale</v>
          </cell>
          <cell r="E275">
            <v>0</v>
          </cell>
          <cell r="F275">
            <v>0</v>
          </cell>
        </row>
        <row r="276">
          <cell r="A276" t="str">
            <v>Quota interessi I Semestre</v>
          </cell>
          <cell r="F276">
            <v>0</v>
          </cell>
        </row>
        <row r="277">
          <cell r="A277" t="str">
            <v>Quota Capitale I Semestre</v>
          </cell>
          <cell r="F277">
            <v>0</v>
          </cell>
        </row>
        <row r="278">
          <cell r="A278" t="str">
            <v>Quota interessi II semestre</v>
          </cell>
          <cell r="E278">
            <v>0</v>
          </cell>
          <cell r="F278">
            <v>0</v>
          </cell>
        </row>
        <row r="279">
          <cell r="A279" t="str">
            <v>Quota Capitale II Semestre</v>
          </cell>
          <cell r="E279">
            <v>0</v>
          </cell>
          <cell r="F279">
            <v>0</v>
          </cell>
        </row>
        <row r="281">
          <cell r="B281" t="str">
            <v>START-UP</v>
          </cell>
          <cell r="C281" t="str">
            <v>II ANNO</v>
          </cell>
          <cell r="D281" t="str">
            <v>III ANNO</v>
          </cell>
          <cell r="E281" t="str">
            <v>IV ANNO</v>
          </cell>
          <cell r="F281" t="str">
            <v>V ANNO</v>
          </cell>
        </row>
        <row r="283">
          <cell r="A283" t="str">
            <v>Capitale iniziale</v>
          </cell>
          <cell r="F283">
            <v>0</v>
          </cell>
        </row>
        <row r="284">
          <cell r="A284" t="str">
            <v>Rata di ammortamento semestrale</v>
          </cell>
          <cell r="F284">
            <v>0</v>
          </cell>
        </row>
        <row r="285">
          <cell r="A285" t="str">
            <v>Quota interessi I Semestre</v>
          </cell>
        </row>
        <row r="286">
          <cell r="A286" t="str">
            <v>Quota Capitale I Semestre</v>
          </cell>
        </row>
        <row r="287">
          <cell r="A287" t="str">
            <v>Quota interessi II semestre</v>
          </cell>
          <cell r="F287">
            <v>0</v>
          </cell>
        </row>
        <row r="288">
          <cell r="A288" t="str">
            <v>Quota Capitale II Semestre</v>
          </cell>
          <cell r="F288">
            <v>0</v>
          </cell>
        </row>
        <row r="291">
          <cell r="A291" t="str">
            <v>RIEPILOGO PIANI DI AMMORTAMENTO PER MUTUI</v>
          </cell>
        </row>
        <row r="292">
          <cell r="B292" t="str">
            <v>START-UP</v>
          </cell>
          <cell r="C292" t="str">
            <v>II ANNO</v>
          </cell>
          <cell r="D292" t="str">
            <v>III ANNO</v>
          </cell>
          <cell r="E292" t="str">
            <v>IV ANNO</v>
          </cell>
          <cell r="F292" t="str">
            <v>V ANNO</v>
          </cell>
        </row>
        <row r="293">
          <cell r="A293" t="str">
            <v>ACCENSIONI MUTUI</v>
          </cell>
          <cell r="B293">
            <v>250000</v>
          </cell>
          <cell r="C293">
            <v>0</v>
          </cell>
          <cell r="D293">
            <v>0</v>
          </cell>
          <cell r="E293">
            <v>0</v>
          </cell>
          <cell r="F293">
            <v>0</v>
          </cell>
        </row>
        <row r="294">
          <cell r="A294" t="str">
            <v>DEBITO TOTALE AD INIZIO ANNO</v>
          </cell>
          <cell r="B294">
            <v>0</v>
          </cell>
          <cell r="C294">
            <v>232328.51814346941</v>
          </cell>
          <cell r="D294">
            <v>192910.06892724585</v>
          </cell>
          <cell r="E294">
            <v>147357.12355174753</v>
          </cell>
          <cell r="F294">
            <v>94715.001052187261</v>
          </cell>
        </row>
        <row r="295">
          <cell r="A295" t="str">
            <v>RATE DI AMMORTAMENTO</v>
          </cell>
          <cell r="B295">
            <v>36421.48185653059</v>
          </cell>
          <cell r="C295">
            <v>36421.48185653059</v>
          </cell>
          <cell r="D295">
            <v>36421.48185653059</v>
          </cell>
          <cell r="E295">
            <v>36421.48185653059</v>
          </cell>
          <cell r="F295">
            <v>36421.48185653059</v>
          </cell>
        </row>
        <row r="296">
          <cell r="A296" t="str">
            <v>QUOTA INTERESSI</v>
          </cell>
          <cell r="B296">
            <v>18750</v>
          </cell>
          <cell r="C296">
            <v>33424.514496837633</v>
          </cell>
          <cell r="D296">
            <v>27290.01833756284</v>
          </cell>
          <cell r="E296">
            <v>20200.841213500913</v>
          </cell>
          <cell r="F296">
            <v>12008.410899506847</v>
          </cell>
        </row>
        <row r="297">
          <cell r="A297" t="str">
            <v>QUOTA CAPITALE</v>
          </cell>
          <cell r="B297">
            <v>17671.48185653059</v>
          </cell>
          <cell r="C297">
            <v>39418.449216223547</v>
          </cell>
          <cell r="D297">
            <v>45552.945375498341</v>
          </cell>
          <cell r="E297">
            <v>52642.122499560268</v>
          </cell>
          <cell r="F297">
            <v>60834.552813554335</v>
          </cell>
        </row>
        <row r="298">
          <cell r="A298" t="str">
            <v>DEBITO ALLA FINE DEL PERIODO</v>
          </cell>
          <cell r="B298">
            <v>232328.51814346941</v>
          </cell>
          <cell r="C298">
            <v>192910.06892724585</v>
          </cell>
          <cell r="D298">
            <v>147357.12355174753</v>
          </cell>
          <cell r="E298">
            <v>94715.001052187261</v>
          </cell>
          <cell r="F298">
            <v>33880.448238632925</v>
          </cell>
        </row>
        <row r="301">
          <cell r="A301" t="str">
            <v>CALCOLO DELLE IMPOSTE DA PAGARE</v>
          </cell>
        </row>
        <row r="302">
          <cell r="B302" t="str">
            <v>START-UP</v>
          </cell>
          <cell r="C302" t="str">
            <v>II ANNO</v>
          </cell>
          <cell r="D302" t="str">
            <v>III ANNO</v>
          </cell>
          <cell r="E302" t="str">
            <v>IV ANNO</v>
          </cell>
          <cell r="F302" t="str">
            <v>V ANNO</v>
          </cell>
          <cell r="G302" t="str">
            <v>VI ANNO</v>
          </cell>
        </row>
        <row r="303">
          <cell r="A303" t="str">
            <v>Reddito imponibile</v>
          </cell>
          <cell r="B303">
            <v>-1148903.3316742021</v>
          </cell>
          <cell r="C303">
            <v>53875.177596005902</v>
          </cell>
          <cell r="D303">
            <v>1473516.2525615974</v>
          </cell>
          <cell r="E303">
            <v>1899118.9211720696</v>
          </cell>
          <cell r="F303">
            <v>2745897.6561485985</v>
          </cell>
          <cell r="G303">
            <v>0</v>
          </cell>
        </row>
        <row r="304">
          <cell r="A304" t="str">
            <v>Franchigia per perdite pregresse</v>
          </cell>
          <cell r="B304">
            <v>0</v>
          </cell>
          <cell r="C304">
            <v>-1148903.3316742021</v>
          </cell>
          <cell r="D304">
            <v>-1095028.1540781963</v>
          </cell>
          <cell r="E304">
            <v>0</v>
          </cell>
          <cell r="F304">
            <v>0</v>
          </cell>
          <cell r="G304">
            <v>0</v>
          </cell>
        </row>
        <row r="305">
          <cell r="A305" t="str">
            <v>Imponibile al netto della franchigia per perdite</v>
          </cell>
          <cell r="B305">
            <v>-1148903.3316742021</v>
          </cell>
          <cell r="C305">
            <v>0</v>
          </cell>
          <cell r="D305">
            <v>378488.09848340112</v>
          </cell>
          <cell r="E305">
            <v>1899118.9211720696</v>
          </cell>
          <cell r="F305">
            <v>2745897.6561485985</v>
          </cell>
          <cell r="G305">
            <v>0</v>
          </cell>
        </row>
        <row r="306">
          <cell r="A306" t="str">
            <v>Imposte</v>
          </cell>
          <cell r="B306">
            <v>0</v>
          </cell>
          <cell r="C306">
            <v>0</v>
          </cell>
          <cell r="D306">
            <v>196813.81121136859</v>
          </cell>
          <cell r="E306">
            <v>987541.83900947624</v>
          </cell>
          <cell r="F306">
            <v>1427866.7811972713</v>
          </cell>
          <cell r="G306">
            <v>0</v>
          </cell>
        </row>
        <row r="307">
          <cell r="A307" t="str">
            <v>Imposta dell'anno precedente</v>
          </cell>
          <cell r="B307">
            <v>0</v>
          </cell>
          <cell r="C307">
            <v>0</v>
          </cell>
          <cell r="D307">
            <v>0</v>
          </cell>
          <cell r="E307">
            <v>196813.81121136859</v>
          </cell>
          <cell r="F307">
            <v>987541.83900947624</v>
          </cell>
          <cell r="G307">
            <v>1427866.7811972713</v>
          </cell>
        </row>
        <row r="308">
          <cell r="A308" t="str">
            <v xml:space="preserve">acconto da versare: </v>
          </cell>
        </row>
        <row r="309">
          <cell r="A309" t="str">
            <v>*  a Maggio</v>
          </cell>
          <cell r="B309">
            <v>0</v>
          </cell>
          <cell r="C309">
            <v>0</v>
          </cell>
          <cell r="D309">
            <v>0</v>
          </cell>
          <cell r="E309">
            <v>77151.01399485649</v>
          </cell>
          <cell r="F309">
            <v>387116.40089171473</v>
          </cell>
          <cell r="G309">
            <v>0</v>
          </cell>
        </row>
        <row r="310">
          <cell r="A310" t="str">
            <v>*  a Novembre</v>
          </cell>
          <cell r="B310">
            <v>0</v>
          </cell>
          <cell r="C310">
            <v>0</v>
          </cell>
          <cell r="D310">
            <v>0</v>
          </cell>
          <cell r="E310">
            <v>115726.52099228471</v>
          </cell>
          <cell r="F310">
            <v>580674.60133757198</v>
          </cell>
          <cell r="G310">
            <v>0</v>
          </cell>
        </row>
        <row r="311">
          <cell r="A311" t="str">
            <v>Saldo imp. anno prec. da versare a maggio</v>
          </cell>
          <cell r="B311">
            <v>0</v>
          </cell>
          <cell r="C311">
            <v>0</v>
          </cell>
          <cell r="D311">
            <v>0</v>
          </cell>
          <cell r="E311">
            <v>196813.81121136859</v>
          </cell>
          <cell r="F311">
            <v>794664.30402233498</v>
          </cell>
          <cell r="G311">
            <v>460075.7789679846</v>
          </cell>
        </row>
        <row r="313">
          <cell r="A313" t="str">
            <v>CALCOLO DEGLI ONERI FINANZIARI PROVVISORI</v>
          </cell>
        </row>
        <row r="314">
          <cell r="B314" t="str">
            <v>START-UP</v>
          </cell>
          <cell r="C314" t="str">
            <v>II ANNO</v>
          </cell>
          <cell r="D314" t="str">
            <v>III ANNO</v>
          </cell>
          <cell r="E314" t="str">
            <v>IV ANNO</v>
          </cell>
          <cell r="F314" t="str">
            <v>V ANNO</v>
          </cell>
        </row>
        <row r="315">
          <cell r="A315" t="str">
            <v>ON. FIN. SU SCOPERTO DI C/C INIZ.</v>
          </cell>
          <cell r="B315">
            <v>0</v>
          </cell>
          <cell r="C315">
            <v>198518.0130808691</v>
          </cell>
          <cell r="D315">
            <v>90966.848323125654</v>
          </cell>
          <cell r="E315">
            <v>0</v>
          </cell>
          <cell r="F315">
            <v>0</v>
          </cell>
        </row>
        <row r="316">
          <cell r="A316" t="str">
            <v>INTERESSI SU MUTUI</v>
          </cell>
          <cell r="B316">
            <v>18750</v>
          </cell>
          <cell r="C316">
            <v>33424.514496837633</v>
          </cell>
          <cell r="D316">
            <v>27290.01833756284</v>
          </cell>
          <cell r="E316">
            <v>20200.841213500913</v>
          </cell>
          <cell r="F316">
            <v>12008.410899506847</v>
          </cell>
        </row>
        <row r="317">
          <cell r="A317" t="str">
            <v xml:space="preserve"> (PROVENTI) SI C/C BANCARIO </v>
          </cell>
          <cell r="B317">
            <v>0</v>
          </cell>
          <cell r="C317">
            <v>0</v>
          </cell>
          <cell r="D317">
            <v>0</v>
          </cell>
          <cell r="E317">
            <v>-6677.2965376017155</v>
          </cell>
          <cell r="F317">
            <v>-113189.85551833504</v>
          </cell>
        </row>
        <row r="318">
          <cell r="A318" t="str">
            <v>TOTALE INTERESSI PROVVISORI</v>
          </cell>
          <cell r="B318">
            <v>18750</v>
          </cell>
          <cell r="C318">
            <v>231942.52757770673</v>
          </cell>
          <cell r="D318">
            <v>118256.86666068849</v>
          </cell>
          <cell r="E318">
            <v>13523.544675899197</v>
          </cell>
          <cell r="F318">
            <v>-101181.44461882819</v>
          </cell>
        </row>
        <row r="321">
          <cell r="A321" t="str">
            <v>ANALISI DEL PUNTO DI PAREGGIO</v>
          </cell>
        </row>
        <row r="322">
          <cell r="B322" t="str">
            <v>START-UP</v>
          </cell>
          <cell r="C322" t="str">
            <v>II ANNO</v>
          </cell>
          <cell r="D322" t="str">
            <v>III ANNO</v>
          </cell>
          <cell r="E322" t="str">
            <v>IV ANNO</v>
          </cell>
          <cell r="F322" t="str">
            <v>V ANNO</v>
          </cell>
        </row>
        <row r="323">
          <cell r="A323" t="str">
            <v>RICAVI</v>
          </cell>
          <cell r="B323">
            <v>0</v>
          </cell>
          <cell r="C323">
            <v>1528800</v>
          </cell>
          <cell r="D323">
            <v>3822000</v>
          </cell>
          <cell r="E323">
            <v>5096000</v>
          </cell>
          <cell r="F323">
            <v>6497400</v>
          </cell>
        </row>
        <row r="324">
          <cell r="A324" t="str">
            <v>COSTI VARIABILI</v>
          </cell>
          <cell r="B324">
            <v>5500</v>
          </cell>
          <cell r="C324">
            <v>178380</v>
          </cell>
          <cell r="D324">
            <v>435200</v>
          </cell>
          <cell r="E324">
            <v>578580</v>
          </cell>
          <cell r="F324">
            <v>578580</v>
          </cell>
        </row>
        <row r="325">
          <cell r="A325" t="str">
            <v>(+/-) VARIAZIONE DELLE SCORTE</v>
          </cell>
          <cell r="B325">
            <v>0</v>
          </cell>
          <cell r="C325">
            <v>-305000</v>
          </cell>
          <cell r="D325">
            <v>-456875</v>
          </cell>
          <cell r="E325">
            <v>-253750</v>
          </cell>
          <cell r="F325">
            <v>-279375</v>
          </cell>
        </row>
        <row r="326">
          <cell r="A326" t="str">
            <v>ACC. SVAL CREDITI</v>
          </cell>
          <cell r="B326">
            <v>0</v>
          </cell>
          <cell r="C326">
            <v>1516.06</v>
          </cell>
          <cell r="D326">
            <v>3790.15</v>
          </cell>
          <cell r="E326">
            <v>5053.5333333333328</v>
          </cell>
          <cell r="F326">
            <v>6443.2550000000001</v>
          </cell>
        </row>
        <row r="327">
          <cell r="A327" t="str">
            <v>MARGINE DI CONTRIBUZIONE</v>
          </cell>
          <cell r="B327">
            <v>-5500</v>
          </cell>
          <cell r="C327">
            <v>1653903.94</v>
          </cell>
          <cell r="D327">
            <v>3839884.85</v>
          </cell>
          <cell r="E327">
            <v>4766116.4666666668</v>
          </cell>
          <cell r="F327">
            <v>6191751.7450000001</v>
          </cell>
        </row>
        <row r="328">
          <cell r="A328" t="str">
            <v>MARGINE DI CONTRIBUZIONE %</v>
          </cell>
          <cell r="B328" t="e">
            <v>#DIV/0!</v>
          </cell>
          <cell r="C328">
            <v>1.081831462585034</v>
          </cell>
          <cell r="D328">
            <v>1.0046794479330194</v>
          </cell>
          <cell r="E328">
            <v>0.93526618262689698</v>
          </cell>
          <cell r="F328">
            <v>0.95295837488841695</v>
          </cell>
        </row>
        <row r="329">
          <cell r="A329" t="str">
            <v>TOTALE COSTI FISSI</v>
          </cell>
          <cell r="B329">
            <v>1032800</v>
          </cell>
          <cell r="C329">
            <v>1414620</v>
          </cell>
          <cell r="D329">
            <v>2292128.6</v>
          </cell>
          <cell r="E329">
            <v>2904194.267</v>
          </cell>
          <cell r="F329">
            <v>3414800.4588999995</v>
          </cell>
        </row>
        <row r="330">
          <cell r="A330" t="str">
            <v>FATTURATO DI PAREGGIO OPERATIVO</v>
          </cell>
          <cell r="B330" t="e">
            <v>#DIV/0!</v>
          </cell>
          <cell r="C330">
            <v>1307615.8800371441</v>
          </cell>
          <cell r="D330">
            <v>2281452.6610609167</v>
          </cell>
          <cell r="E330">
            <v>3105206.1123849722</v>
          </cell>
          <cell r="F330">
            <v>3583367.9086978408</v>
          </cell>
        </row>
        <row r="331">
          <cell r="A331" t="str">
            <v>MARGINE DI SICUREZZA %</v>
          </cell>
          <cell r="B331" t="e">
            <v>#DIV/0!</v>
          </cell>
          <cell r="C331">
            <v>0.14467825743253265</v>
          </cell>
          <cell r="D331">
            <v>0.4030736103974577</v>
          </cell>
          <cell r="E331">
            <v>0.39065814121174014</v>
          </cell>
          <cell r="F331">
            <v>0.44849202624159806</v>
          </cell>
        </row>
        <row r="334">
          <cell r="A334" t="str">
            <v>ANALISI DEGLI INDICI DI BILANCIO</v>
          </cell>
        </row>
        <row r="335">
          <cell r="B335" t="str">
            <v>START-UP</v>
          </cell>
          <cell r="C335" t="str">
            <v>II ANNO</v>
          </cell>
          <cell r="D335" t="str">
            <v>III ANNO</v>
          </cell>
          <cell r="E335" t="str">
            <v>IV ANNO</v>
          </cell>
          <cell r="F335" t="str">
            <v>V ANNO</v>
          </cell>
        </row>
        <row r="336">
          <cell r="A336" t="str">
            <v>Indici di liquidità:</v>
          </cell>
        </row>
        <row r="337">
          <cell r="A337" t="str">
            <v>* Indice di disponibilità</v>
          </cell>
          <cell r="B337">
            <v>0.10419225833778678</v>
          </cell>
          <cell r="C337">
            <v>0.87534105733566969</v>
          </cell>
          <cell r="D337">
            <v>3.5180286160288392</v>
          </cell>
          <cell r="E337">
            <v>2.5774648979056649</v>
          </cell>
          <cell r="F337">
            <v>2.9313844519840719</v>
          </cell>
        </row>
        <row r="338">
          <cell r="A338" t="str">
            <v>* Indice di liquidità</v>
          </cell>
          <cell r="B338">
            <v>0.10419225833778678</v>
          </cell>
          <cell r="C338">
            <v>0.43888398308225246</v>
          </cell>
          <cell r="D338">
            <v>1.8284511041336062</v>
          </cell>
          <cell r="E338">
            <v>1.7950575640425306</v>
          </cell>
          <cell r="F338">
            <v>2.2061230884595546</v>
          </cell>
        </row>
        <row r="340">
          <cell r="A340" t="str">
            <v>Indici di struttura finanziaria:</v>
          </cell>
        </row>
        <row r="341">
          <cell r="A341" t="str">
            <v xml:space="preserve">* Indice di indebitamento </v>
          </cell>
          <cell r="B341">
            <v>3.3677735711288044</v>
          </cell>
          <cell r="C341">
            <v>0.81322236134087433</v>
          </cell>
          <cell r="D341">
            <v>9.2217234930001279E-2</v>
          </cell>
          <cell r="E341">
            <v>3.8551088390596289E-2</v>
          </cell>
          <cell r="F341">
            <v>9.122198694631314E-3</v>
          </cell>
        </row>
        <row r="342">
          <cell r="A342" t="str">
            <v>* Rapporto Mezzi Terzi/Mezzi Propri</v>
          </cell>
          <cell r="B342">
            <v>-1.4223376813532316</v>
          </cell>
          <cell r="C342">
            <v>4.3539599664016926</v>
          </cell>
          <cell r="D342">
            <v>0.10158513520896208</v>
          </cell>
          <cell r="E342">
            <v>4.0096866224607029E-2</v>
          </cell>
          <cell r="F342">
            <v>9.2061792913453681E-3</v>
          </cell>
        </row>
        <row r="343">
          <cell r="A343" t="str">
            <v>* Indice di copertura delle immobilizzazioni</v>
          </cell>
          <cell r="B343">
            <v>-1.5861704769628289</v>
          </cell>
          <cell r="C343">
            <v>0.68046685934334861</v>
          </cell>
          <cell r="D343">
            <v>2.5593573196091652</v>
          </cell>
          <cell r="E343">
            <v>3.6866686206311559</v>
          </cell>
          <cell r="F343">
            <v>5.8997442922478491</v>
          </cell>
        </row>
        <row r="345">
          <cell r="A345" t="str">
            <v>Indici di efficienza operativa:</v>
          </cell>
        </row>
        <row r="346">
          <cell r="A346" t="str">
            <v>* Indice di rotazione del capitale investito</v>
          </cell>
          <cell r="B346">
            <v>0</v>
          </cell>
          <cell r="C346">
            <v>2.2392365475785745</v>
          </cell>
          <cell r="D346">
            <v>3.0227112829908811</v>
          </cell>
          <cell r="E346">
            <v>2.5135614156250958</v>
          </cell>
          <cell r="F346">
            <v>2.1058070568262055</v>
          </cell>
        </row>
        <row r="347">
          <cell r="A347" t="str">
            <v>* Indice di rotazione delle attività correnti</v>
          </cell>
          <cell r="B347">
            <v>0</v>
          </cell>
          <cell r="C347">
            <v>4.0309495611220614</v>
          </cell>
          <cell r="D347">
            <v>3.477599885255747</v>
          </cell>
          <cell r="E347">
            <v>2.066454274619169</v>
          </cell>
          <cell r="F347">
            <v>1.5145595380765593</v>
          </cell>
        </row>
        <row r="348">
          <cell r="A348" t="str">
            <v>* Indice di rotazione del C.C.O.N.</v>
          </cell>
          <cell r="B348">
            <v>0</v>
          </cell>
          <cell r="C348">
            <v>7.017553725663749</v>
          </cell>
          <cell r="D348">
            <v>4.4120982709079799</v>
          </cell>
          <cell r="E348">
            <v>3.4363670372963573</v>
          </cell>
          <cell r="F348">
            <v>3.3195827927630157</v>
          </cell>
        </row>
        <row r="350">
          <cell r="A350" t="str">
            <v>Indici di redditività:</v>
          </cell>
        </row>
        <row r="351">
          <cell r="A351" t="str">
            <v>* R.O.I. (Return on Investment)</v>
          </cell>
          <cell r="B351">
            <v>-4.778795486846569</v>
          </cell>
          <cell r="C351">
            <v>0.35047968582980027</v>
          </cell>
          <cell r="D351">
            <v>1.2240764731016889</v>
          </cell>
          <cell r="E351">
            <v>0.91837829669896787</v>
          </cell>
          <cell r="F351">
            <v>0.84846908220898754</v>
          </cell>
        </row>
        <row r="352">
          <cell r="A352" t="str">
            <v>* R.O.E. (Return on Equity)</v>
          </cell>
          <cell r="B352">
            <v>2.2332580647877571</v>
          </cell>
          <cell r="C352">
            <v>-0.12601965757276987</v>
          </cell>
          <cell r="D352">
            <v>1.5718553891720064</v>
          </cell>
          <cell r="E352">
            <v>0.478175232689521</v>
          </cell>
          <cell r="F352">
            <v>0.43626502795001937</v>
          </cell>
        </row>
        <row r="353">
          <cell r="A353" t="str">
            <v>* R.O.S. (Return on sales)</v>
          </cell>
          <cell r="B353" t="e">
            <v>#DIV/0!</v>
          </cell>
          <cell r="C353">
            <v>0.15651749084249081</v>
          </cell>
          <cell r="D353">
            <v>0.40495977237048664</v>
          </cell>
          <cell r="E353">
            <v>0.36536934844322355</v>
          </cell>
          <cell r="F353">
            <v>0.40291871919537053</v>
          </cell>
        </row>
        <row r="356">
          <cell r="A356" t="str">
            <v>DETERMINAZIONE DEL CASH FLOW</v>
          </cell>
        </row>
        <row r="357">
          <cell r="B357" t="str">
            <v>START-UP</v>
          </cell>
          <cell r="C357" t="str">
            <v>II ANNO</v>
          </cell>
          <cell r="D357" t="str">
            <v>III ANNO</v>
          </cell>
          <cell r="E357" t="str">
            <v>IV ANNO</v>
          </cell>
          <cell r="F357" t="str">
            <v>V ANNO</v>
          </cell>
          <cell r="G357" t="str">
            <v>VI ANNO</v>
          </cell>
        </row>
        <row r="358">
          <cell r="A358" t="str">
            <v xml:space="preserve"> Disinvestimenti(+)/Investimenti (-) in cap. fisso</v>
          </cell>
          <cell r="B358">
            <v>-557500</v>
          </cell>
          <cell r="C358">
            <v>-163800</v>
          </cell>
          <cell r="D358">
            <v>-254100</v>
          </cell>
          <cell r="E358">
            <v>-262500</v>
          </cell>
          <cell r="F358">
            <v>-233100</v>
          </cell>
          <cell r="G358">
            <v>0</v>
          </cell>
        </row>
        <row r="359">
          <cell r="A359" t="str">
            <v>(+/-) Variazione del capitale circolante</v>
          </cell>
          <cell r="B359">
            <v>36315.352564102577</v>
          </cell>
          <cell r="C359">
            <v>-509854.15256410249</v>
          </cell>
          <cell r="D359">
            <v>-792253.67833333358</v>
          </cell>
          <cell r="E359">
            <v>-450003.98724999977</v>
          </cell>
          <cell r="F359">
            <v>-510158.12211850053</v>
          </cell>
        </row>
        <row r="360">
          <cell r="A360" t="str">
            <v>(+) Contributi a fondo perduto</v>
          </cell>
          <cell r="B360">
            <v>0</v>
          </cell>
          <cell r="C360">
            <v>0</v>
          </cell>
          <cell r="D360">
            <v>0</v>
          </cell>
          <cell r="E360">
            <v>0</v>
          </cell>
          <cell r="F360">
            <v>0</v>
          </cell>
          <cell r="G360">
            <v>0</v>
          </cell>
        </row>
        <row r="361">
          <cell r="A361" t="str">
            <v>(+) valore residuo</v>
          </cell>
          <cell r="G361">
            <v>3680185.5760601554</v>
          </cell>
        </row>
        <row r="362">
          <cell r="A362" t="str">
            <v>(-) eventuale svalutazione valore residuo</v>
          </cell>
        </row>
        <row r="363">
          <cell r="A363" t="str">
            <v>Totale investimenti</v>
          </cell>
          <cell r="B363">
            <v>-521184.64743589744</v>
          </cell>
          <cell r="C363">
            <v>-673654.15256410255</v>
          </cell>
          <cell r="D363">
            <v>-1046353.6783333336</v>
          </cell>
          <cell r="E363">
            <v>-712503.98724999977</v>
          </cell>
          <cell r="F363">
            <v>-743258.12211850053</v>
          </cell>
          <cell r="G363">
            <v>3680185.5760601554</v>
          </cell>
        </row>
        <row r="365">
          <cell r="A365" t="str">
            <v>(+) Reddito operativo</v>
          </cell>
          <cell r="B365">
            <v>-1038300</v>
          </cell>
          <cell r="C365">
            <v>239283.93999999994</v>
          </cell>
          <cell r="D365">
            <v>1547756.25</v>
          </cell>
          <cell r="E365">
            <v>1861922.1996666673</v>
          </cell>
          <cell r="F365">
            <v>2617924.0861000004</v>
          </cell>
          <cell r="G365">
            <v>0</v>
          </cell>
        </row>
        <row r="366">
          <cell r="A366" t="str">
            <v>(+) Ammortamenti</v>
          </cell>
          <cell r="B366">
            <v>55300</v>
          </cell>
          <cell r="C366">
            <v>126980</v>
          </cell>
          <cell r="D366">
            <v>168770</v>
          </cell>
          <cell r="E366">
            <v>220430</v>
          </cell>
          <cell r="F366">
            <v>269990</v>
          </cell>
          <cell r="G366">
            <v>0</v>
          </cell>
        </row>
        <row r="367">
          <cell r="A367" t="str">
            <v>(+/-) Delta TFR</v>
          </cell>
          <cell r="B367">
            <v>36340</v>
          </cell>
          <cell r="C367">
            <v>48782</v>
          </cell>
          <cell r="D367">
            <v>76738.679999999993</v>
          </cell>
          <cell r="E367">
            <v>95360.591249999998</v>
          </cell>
          <cell r="F367">
            <v>106851.70406024996</v>
          </cell>
          <cell r="G367">
            <v>0</v>
          </cell>
        </row>
        <row r="368">
          <cell r="A368" t="str">
            <v>(+/-) Delta Fondo svalutazione crediti</v>
          </cell>
          <cell r="B368">
            <v>0</v>
          </cell>
          <cell r="C368">
            <v>1516.06</v>
          </cell>
          <cell r="D368">
            <v>3790.15</v>
          </cell>
          <cell r="E368">
            <v>5053.5333333333328</v>
          </cell>
          <cell r="F368">
            <v>6443.2550000000001</v>
          </cell>
          <cell r="G368">
            <v>0</v>
          </cell>
        </row>
        <row r="369">
          <cell r="A369" t="str">
            <v>(-) Imposte</v>
          </cell>
          <cell r="B369">
            <v>0</v>
          </cell>
          <cell r="C369">
            <v>0</v>
          </cell>
          <cell r="D369">
            <v>0</v>
          </cell>
          <cell r="E369">
            <v>-389691.3461985098</v>
          </cell>
          <cell r="F369">
            <v>-1762455.3062516218</v>
          </cell>
          <cell r="G369">
            <v>0</v>
          </cell>
        </row>
        <row r="370">
          <cell r="A370" t="str">
            <v>Flusso di cassa della gestione</v>
          </cell>
          <cell r="B370">
            <v>-946660</v>
          </cell>
          <cell r="C370">
            <v>416561.99999999994</v>
          </cell>
          <cell r="D370">
            <v>1797055.0799999998</v>
          </cell>
          <cell r="E370">
            <v>1793074.9780514906</v>
          </cell>
          <cell r="F370">
            <v>1238753.7389086285</v>
          </cell>
          <cell r="G370">
            <v>0</v>
          </cell>
        </row>
        <row r="372">
          <cell r="A372" t="str">
            <v>FLUSSO DI CASSA COMPLESSIVO</v>
          </cell>
          <cell r="B372">
            <v>-1467844.6474358975</v>
          </cell>
          <cell r="C372">
            <v>-257092.15256410261</v>
          </cell>
          <cell r="D372">
            <v>750701.40166666626</v>
          </cell>
          <cell r="E372">
            <v>1080570.9908014908</v>
          </cell>
          <cell r="F372">
            <v>495495.61679012794</v>
          </cell>
          <cell r="G372">
            <v>3680185.5760601554</v>
          </cell>
        </row>
        <row r="375">
          <cell r="A375" t="str">
            <v>CALCOLO DEL VALORE ATTUALE NETTO (Flussi di cassa attualizzati al ROI minimo medio)</v>
          </cell>
        </row>
        <row r="376">
          <cell r="A376" t="str">
            <v>N.B. Per attualizzare ad un tasso diverso dal ROI minimo medio inserire il tasso nei parametri di  input</v>
          </cell>
        </row>
        <row r="377">
          <cell r="B377" t="str">
            <v>START-UP</v>
          </cell>
          <cell r="C377" t="str">
            <v>II ANNO</v>
          </cell>
          <cell r="D377" t="str">
            <v>III ANNO</v>
          </cell>
          <cell r="E377" t="str">
            <v>IV ANNO</v>
          </cell>
          <cell r="F377" t="str">
            <v>V ANNO</v>
          </cell>
          <cell r="G377" t="str">
            <v>VI ANNO</v>
          </cell>
        </row>
        <row r="378">
          <cell r="A378" t="str">
            <v>Flusso di cassa</v>
          </cell>
          <cell r="B378">
            <v>-1467844.6474358975</v>
          </cell>
          <cell r="C378">
            <v>-257092.15256410261</v>
          </cell>
          <cell r="D378">
            <v>750701.40166666626</v>
          </cell>
          <cell r="E378">
            <v>1080570.9908014908</v>
          </cell>
          <cell r="F378">
            <v>495495.61679012794</v>
          </cell>
          <cell r="G378">
            <v>3680185.5760601554</v>
          </cell>
        </row>
        <row r="379">
          <cell r="A379" t="str">
            <v>Periodo</v>
          </cell>
          <cell r="B379">
            <v>0</v>
          </cell>
          <cell r="C379">
            <v>1</v>
          </cell>
          <cell r="D379">
            <v>2</v>
          </cell>
          <cell r="E379">
            <v>3</v>
          </cell>
          <cell r="F379">
            <v>4</v>
          </cell>
          <cell r="G379">
            <v>5</v>
          </cell>
        </row>
        <row r="380">
          <cell r="A380" t="str">
            <v>Fattore di attualizzazione di periodo</v>
          </cell>
          <cell r="B380">
            <v>1</v>
          </cell>
          <cell r="C380">
            <v>0.75754302444356014</v>
          </cell>
          <cell r="D380">
            <v>0.57387143388309636</v>
          </cell>
          <cell r="E380">
            <v>0.43473230166556331</v>
          </cell>
          <cell r="F380">
            <v>0.32932842262704104</v>
          </cell>
          <cell r="G380">
            <v>0.24948044931211566</v>
          </cell>
        </row>
        <row r="381">
          <cell r="A381" t="str">
            <v>Flussi di cassa attualizzati</v>
          </cell>
          <cell r="B381">
            <v>-1467844.6474358975</v>
          </cell>
          <cell r="C381">
            <v>-194758.36681411546</v>
          </cell>
          <cell r="D381">
            <v>430806.08979250002</v>
          </cell>
          <cell r="E381">
            <v>469759.11394417036</v>
          </cell>
          <cell r="F381">
            <v>163180.78989610562</v>
          </cell>
          <cell r="G381">
            <v>918134.35106745479</v>
          </cell>
        </row>
        <row r="382">
          <cell r="A382" t="str">
            <v>Flussi di cassa attualizzati cumulati</v>
          </cell>
          <cell r="B382">
            <v>-1467844.6474358975</v>
          </cell>
          <cell r="C382">
            <v>-1662603.014250013</v>
          </cell>
          <cell r="D382">
            <v>-1231796.924457513</v>
          </cell>
          <cell r="E382">
            <v>-762037.81051334273</v>
          </cell>
          <cell r="F382">
            <v>-598857.02061723708</v>
          </cell>
          <cell r="G382">
            <v>319277.33045021771</v>
          </cell>
        </row>
        <row r="383">
          <cell r="A383" t="str">
            <v>V.A.N.</v>
          </cell>
          <cell r="B383">
            <v>319277.33045021771</v>
          </cell>
        </row>
        <row r="384">
          <cell r="A384" t="str">
            <v>Tasso di attualizzazione</v>
          </cell>
          <cell r="B384">
            <v>0.32005703667396623</v>
          </cell>
        </row>
        <row r="387">
          <cell r="A387" t="str">
            <v>CALCOLO DEL TASSO INTERNO DI RENDIMENTO</v>
          </cell>
        </row>
        <row r="388">
          <cell r="A388" t="str">
            <v>T.I.R.</v>
          </cell>
          <cell r="B388">
            <v>0.38532727150382939</v>
          </cell>
        </row>
        <row r="391">
          <cell r="A391" t="str">
            <v>CALCOLO DEL PAYBACK PERIOD</v>
          </cell>
        </row>
        <row r="392">
          <cell r="B392" t="str">
            <v>ANNI</v>
          </cell>
          <cell r="C392" t="str">
            <v>MESI</v>
          </cell>
        </row>
        <row r="393">
          <cell r="A393" t="str">
            <v>PERIODO DI RECUPERO INVESTIMENTO</v>
          </cell>
          <cell r="B393">
            <v>5</v>
          </cell>
          <cell r="C393">
            <v>7.8270508439770525</v>
          </cell>
        </row>
        <row r="397">
          <cell r="A397" t="str">
            <v>CONTO ECONOMICO PERCENTUALE</v>
          </cell>
        </row>
        <row r="398">
          <cell r="B398" t="str">
            <v>START-UP</v>
          </cell>
          <cell r="C398" t="str">
            <v>II ANNO</v>
          </cell>
          <cell r="D398" t="str">
            <v>III ANNO</v>
          </cell>
          <cell r="E398" t="str">
            <v>IV ANNO</v>
          </cell>
          <cell r="F398" t="str">
            <v>V ANNO</v>
          </cell>
        </row>
        <row r="399">
          <cell r="A399" t="str">
            <v>Ricavi lordi</v>
          </cell>
          <cell r="B399" t="e">
            <v>#DIV/0!</v>
          </cell>
          <cell r="C399">
            <v>1.0204081632653061</v>
          </cell>
          <cell r="D399">
            <v>1.0204081632653061</v>
          </cell>
          <cell r="E399">
            <v>1.0204081632653061</v>
          </cell>
          <cell r="F399">
            <v>1.0204081632653061</v>
          </cell>
        </row>
        <row r="400">
          <cell r="A400" t="str">
            <v>Sconti commerciali</v>
          </cell>
          <cell r="B400" t="e">
            <v>#DIV/0!</v>
          </cell>
          <cell r="C400">
            <v>-2.0408163265306121E-2</v>
          </cell>
          <cell r="D400">
            <v>-2.0408163265306121E-2</v>
          </cell>
          <cell r="E400">
            <v>-2.0408163265306121E-2</v>
          </cell>
          <cell r="F400">
            <v>-2.0408163265306121E-2</v>
          </cell>
        </row>
        <row r="401">
          <cell r="A401" t="str">
            <v>RICAVI  NETTI</v>
          </cell>
          <cell r="B401" t="e">
            <v>#DIV/0!</v>
          </cell>
          <cell r="C401">
            <v>1</v>
          </cell>
          <cell r="D401">
            <v>1</v>
          </cell>
          <cell r="E401">
            <v>1</v>
          </cell>
          <cell r="F401">
            <v>1</v>
          </cell>
        </row>
        <row r="403">
          <cell r="A403" t="str">
            <v>Rimanenze iniziali</v>
          </cell>
          <cell r="B403" t="e">
            <v>#DIV/0!</v>
          </cell>
          <cell r="C403">
            <v>0</v>
          </cell>
          <cell r="D403">
            <v>7.9801151229722658E-2</v>
          </cell>
          <cell r="E403">
            <v>0.14950451334379905</v>
          </cell>
          <cell r="F403">
            <v>0.15631252501000401</v>
          </cell>
        </row>
        <row r="404">
          <cell r="A404" t="str">
            <v>Acquisti</v>
          </cell>
          <cell r="B404" t="e">
            <v>#DIV/0!</v>
          </cell>
          <cell r="C404">
            <v>1.3082155939298797E-2</v>
          </cell>
          <cell r="D404">
            <v>1.2428048142333857E-2</v>
          </cell>
          <cell r="E404">
            <v>1.2264521193092622E-2</v>
          </cell>
          <cell r="F404">
            <v>1.2312617354634162E-2</v>
          </cell>
        </row>
        <row r="405">
          <cell r="A405" t="str">
            <v>Rimanenze finali</v>
          </cell>
          <cell r="B405" t="e">
            <v>#DIV/0!</v>
          </cell>
          <cell r="C405">
            <v>-0.19950287807430664</v>
          </cell>
          <cell r="D405">
            <v>-0.1993393511250654</v>
          </cell>
          <cell r="E405">
            <v>-0.19929846938775511</v>
          </cell>
          <cell r="F405">
            <v>-0.1993104934281405</v>
          </cell>
        </row>
        <row r="406">
          <cell r="A406" t="str">
            <v xml:space="preserve">Manodopera </v>
          </cell>
          <cell r="B406" t="e">
            <v>#DIV/0!</v>
          </cell>
          <cell r="C406">
            <v>0.5374149659863946</v>
          </cell>
          <cell r="D406">
            <v>0.3689387755102041</v>
          </cell>
          <cell r="E406">
            <v>0.37383566326530604</v>
          </cell>
          <cell r="F406">
            <v>0.36203032653061223</v>
          </cell>
        </row>
        <row r="407">
          <cell r="A407" t="str">
            <v>Canoni Leasing</v>
          </cell>
          <cell r="B407" t="e">
            <v>#DIV/0!</v>
          </cell>
          <cell r="C407">
            <v>0</v>
          </cell>
          <cell r="D407">
            <v>0</v>
          </cell>
          <cell r="E407">
            <v>0</v>
          </cell>
          <cell r="F407">
            <v>0</v>
          </cell>
        </row>
        <row r="408">
          <cell r="A408" t="str">
            <v>Prestazioni esterne</v>
          </cell>
          <cell r="B408" t="e">
            <v>#DIV/0!</v>
          </cell>
          <cell r="C408">
            <v>7.3809523809523811E-2</v>
          </cell>
          <cell r="D408">
            <v>5.674897959183673E-2</v>
          </cell>
          <cell r="E408">
            <v>3.7274257653061221E-2</v>
          </cell>
          <cell r="F408">
            <v>2.7507206182472977E-2</v>
          </cell>
        </row>
        <row r="409">
          <cell r="A409" t="str">
            <v>Costi generali industriali</v>
          </cell>
          <cell r="B409" t="e">
            <v>#DIV/0!</v>
          </cell>
          <cell r="C409">
            <v>3.5975928833071689E-3</v>
          </cell>
          <cell r="D409">
            <v>1.4390371533228676E-3</v>
          </cell>
          <cell r="E409">
            <v>1.271585557299843E-3</v>
          </cell>
          <cell r="F409">
            <v>1.2108227906547234E-3</v>
          </cell>
        </row>
        <row r="410">
          <cell r="A410" t="str">
            <v>Ammortamenti dei beni strumentali alla produz.</v>
          </cell>
          <cell r="B410" t="e">
            <v>#DIV/0!</v>
          </cell>
          <cell r="C410">
            <v>7.645211930926217E-2</v>
          </cell>
          <cell r="D410">
            <v>4.1514913657770804E-2</v>
          </cell>
          <cell r="E410">
            <v>4.1273547880690736E-2</v>
          </cell>
          <cell r="F410">
            <v>3.9999076553698401E-2</v>
          </cell>
        </row>
        <row r="411">
          <cell r="A411" t="str">
            <v>COSTO DEL VENDUTO</v>
          </cell>
          <cell r="B411" t="e">
            <v>#DIV/0!</v>
          </cell>
          <cell r="C411">
            <v>0.42744636316064888</v>
          </cell>
          <cell r="D411">
            <v>0.303343537414966</v>
          </cell>
          <cell r="E411">
            <v>0.37757977629513334</v>
          </cell>
          <cell r="F411">
            <v>0.37134405202080828</v>
          </cell>
        </row>
        <row r="413">
          <cell r="A413" t="str">
            <v>MARGINE LORDO IND.LE</v>
          </cell>
          <cell r="B413" t="e">
            <v>#DIV/0!</v>
          </cell>
          <cell r="C413">
            <v>0.57255363683935112</v>
          </cell>
          <cell r="D413">
            <v>0.696656462585034</v>
          </cell>
          <cell r="E413">
            <v>0.6224202237048666</v>
          </cell>
          <cell r="F413">
            <v>0.62865594797919166</v>
          </cell>
        </row>
        <row r="415">
          <cell r="A415" t="str">
            <v>Costi  vendita</v>
          </cell>
          <cell r="B415" t="e">
            <v>#DIV/0!</v>
          </cell>
          <cell r="C415">
            <v>0.1</v>
          </cell>
          <cell r="D415">
            <v>0.1</v>
          </cell>
          <cell r="E415">
            <v>0.1</v>
          </cell>
          <cell r="F415">
            <v>0.1</v>
          </cell>
        </row>
        <row r="416">
          <cell r="A416" t="str">
            <v>Costi  distribuzione</v>
          </cell>
          <cell r="B416" t="e">
            <v>#DIV/0!</v>
          </cell>
          <cell r="C416">
            <v>0</v>
          </cell>
          <cell r="D416">
            <v>0</v>
          </cell>
          <cell r="E416">
            <v>0</v>
          </cell>
          <cell r="F416">
            <v>0</v>
          </cell>
        </row>
        <row r="417">
          <cell r="A417" t="str">
            <v>Costi  di comunicazione</v>
          </cell>
          <cell r="B417" t="e">
            <v>#DIV/0!</v>
          </cell>
          <cell r="C417">
            <v>6.5410779696493983E-3</v>
          </cell>
          <cell r="D417">
            <v>3.1397174254317113E-3</v>
          </cell>
          <cell r="E417">
            <v>2.9434850863422294E-3</v>
          </cell>
          <cell r="F417">
            <v>3.0781543386585405E-3</v>
          </cell>
        </row>
        <row r="418">
          <cell r="A418" t="str">
            <v>Accantonamento svalutazione crediti</v>
          </cell>
          <cell r="B418" t="e">
            <v>#DIV/0!</v>
          </cell>
          <cell r="C418">
            <v>9.9166666666666674E-4</v>
          </cell>
          <cell r="D418">
            <v>9.9166666666666674E-4</v>
          </cell>
          <cell r="E418">
            <v>9.9166666666666652E-4</v>
          </cell>
          <cell r="F418">
            <v>9.9166666666666674E-4</v>
          </cell>
        </row>
        <row r="419">
          <cell r="A419" t="str">
            <v>Costi generali e amministrativi</v>
          </cell>
          <cell r="B419" t="e">
            <v>#DIV/0!</v>
          </cell>
          <cell r="C419">
            <v>3.5975928833071689E-3</v>
          </cell>
          <cell r="D419">
            <v>1.4390371533228676E-3</v>
          </cell>
          <cell r="E419">
            <v>1.271585557299843E-3</v>
          </cell>
          <cell r="F419">
            <v>1.2108227906547234E-3</v>
          </cell>
        </row>
        <row r="420">
          <cell r="A420" t="str">
            <v xml:space="preserve">Costo del personale </v>
          </cell>
          <cell r="B420" t="e">
            <v>#DIV/0!</v>
          </cell>
          <cell r="C420">
            <v>0.22448979591836735</v>
          </cell>
          <cell r="D420">
            <v>0.12673469387755101</v>
          </cell>
          <cell r="E420">
            <v>0.11258793367346938</v>
          </cell>
          <cell r="F420">
            <v>9.139491086434573E-2</v>
          </cell>
        </row>
        <row r="421">
          <cell r="A421" t="str">
            <v>Prestazioni esterne</v>
          </cell>
          <cell r="B421" t="e">
            <v>#DIV/0!</v>
          </cell>
          <cell r="C421">
            <v>7.3809523809523811E-2</v>
          </cell>
          <cell r="D421">
            <v>5.674897959183673E-2</v>
          </cell>
          <cell r="E421">
            <v>3.7274257653061221E-2</v>
          </cell>
          <cell r="F421">
            <v>2.7507206182472977E-2</v>
          </cell>
        </row>
        <row r="422">
          <cell r="A422" t="str">
            <v xml:space="preserve">Ammortamenti </v>
          </cell>
          <cell r="B422" t="e">
            <v>#DIV/0!</v>
          </cell>
          <cell r="C422">
            <v>6.6064887493458924E-3</v>
          </cell>
          <cell r="D422">
            <v>2.6425954997383568E-3</v>
          </cell>
          <cell r="E422">
            <v>1.9819466248037678E-3</v>
          </cell>
          <cell r="F422">
            <v>1.554467941022563E-3</v>
          </cell>
        </row>
        <row r="423">
          <cell r="A423" t="str">
            <v>COSTI OPERATIVI</v>
          </cell>
          <cell r="B423" t="e">
            <v>#DIV/0!</v>
          </cell>
          <cell r="C423">
            <v>0.41603614599686034</v>
          </cell>
          <cell r="D423">
            <v>0.29169669021454736</v>
          </cell>
          <cell r="E423">
            <v>0.25705087526164311</v>
          </cell>
          <cell r="F423">
            <v>0.22573722878382119</v>
          </cell>
        </row>
        <row r="425">
          <cell r="A425" t="str">
            <v>REDDITO OPERATIVO</v>
          </cell>
          <cell r="B425" t="e">
            <v>#DIV/0!</v>
          </cell>
          <cell r="C425">
            <v>0.15651749084249081</v>
          </cell>
          <cell r="D425">
            <v>0.40495977237048664</v>
          </cell>
          <cell r="E425">
            <v>0.36536934844322355</v>
          </cell>
          <cell r="F425">
            <v>0.40291871919537053</v>
          </cell>
        </row>
        <row r="427">
          <cell r="A427" t="str">
            <v>Oneri (Proventi)  finanziari  netti</v>
          </cell>
          <cell r="B427" t="e">
            <v>#DIV/0!</v>
          </cell>
          <cell r="C427">
            <v>0.1212773171140725</v>
          </cell>
          <cell r="D427">
            <v>1.94243844684465E-2</v>
          </cell>
          <cell r="E427">
            <v>-7.2991996674651458E-3</v>
          </cell>
          <cell r="F427">
            <v>-1.9696119993935772E-2</v>
          </cell>
        </row>
        <row r="428">
          <cell r="A428" t="str">
            <v>RISULTATO GESTIONE FINANZIARIA</v>
          </cell>
          <cell r="B428" t="e">
            <v>#DIV/0!</v>
          </cell>
          <cell r="C428">
            <v>-0.1212773171140725</v>
          </cell>
          <cell r="D428">
            <v>-1.94243844684465E-2</v>
          </cell>
          <cell r="E428">
            <v>7.2991996674651458E-3</v>
          </cell>
          <cell r="F428">
            <v>1.9696119993935772E-2</v>
          </cell>
        </row>
        <row r="430">
          <cell r="A430" t="str">
            <v>Componenti straord. positivi</v>
          </cell>
          <cell r="B430" t="e">
            <v>#DIV/0!</v>
          </cell>
          <cell r="C430">
            <v>0</v>
          </cell>
          <cell r="D430">
            <v>0</v>
          </cell>
          <cell r="E430">
            <v>0</v>
          </cell>
          <cell r="F430">
            <v>0</v>
          </cell>
        </row>
        <row r="431">
          <cell r="A431" t="str">
            <v>Componenti straord.  negativi</v>
          </cell>
          <cell r="B431" t="e">
            <v>#DIV/0!</v>
          </cell>
          <cell r="C431">
            <v>0</v>
          </cell>
          <cell r="D431">
            <v>0</v>
          </cell>
          <cell r="E431">
            <v>0</v>
          </cell>
          <cell r="F431">
            <v>0</v>
          </cell>
        </row>
        <row r="432">
          <cell r="A432" t="str">
            <v>RISULTATO GESTIONE STRAORDINARIA</v>
          </cell>
          <cell r="B432" t="e">
            <v>#DIV/0!</v>
          </cell>
          <cell r="C432">
            <v>0</v>
          </cell>
          <cell r="D432">
            <v>0</v>
          </cell>
          <cell r="E432">
            <v>0</v>
          </cell>
          <cell r="F432">
            <v>0</v>
          </cell>
        </row>
        <row r="434">
          <cell r="A434" t="str">
            <v>RISULTATO ANTE IMPOSTE</v>
          </cell>
          <cell r="B434" t="e">
            <v>#DIV/0!</v>
          </cell>
          <cell r="C434">
            <v>3.5240173728418304E-2</v>
          </cell>
          <cell r="D434">
            <v>0.38553538790204012</v>
          </cell>
          <cell r="E434">
            <v>0.37266854811068872</v>
          </cell>
          <cell r="F434">
            <v>0.42261483918930626</v>
          </cell>
        </row>
        <row r="436">
          <cell r="A436" t="str">
            <v>Imposte</v>
          </cell>
          <cell r="B436" t="e">
            <v>#DIV/0!</v>
          </cell>
          <cell r="C436">
            <v>0</v>
          </cell>
          <cell r="D436">
            <v>5.1494979385496756E-2</v>
          </cell>
          <cell r="E436">
            <v>0.19378764501755813</v>
          </cell>
          <cell r="F436">
            <v>0.21975971637843927</v>
          </cell>
        </row>
        <row r="438">
          <cell r="A438" t="str">
            <v>RISULTATO NETTO</v>
          </cell>
          <cell r="B438" t="e">
            <v>#DIV/0!</v>
          </cell>
          <cell r="C438">
            <v>3.5240173728418304E-2</v>
          </cell>
          <cell r="D438">
            <v>0.33404040851654337</v>
          </cell>
          <cell r="E438">
            <v>0.17888090309313057</v>
          </cell>
          <cell r="F438">
            <v>0.20285512281086698</v>
          </cell>
        </row>
        <row r="441">
          <cell r="A441" t="str">
            <v>STATO PATRIMONIALE PERCENTUALE</v>
          </cell>
        </row>
        <row r="442">
          <cell r="B442" t="str">
            <v>START-UP</v>
          </cell>
          <cell r="C442" t="str">
            <v>II ANNO</v>
          </cell>
          <cell r="D442" t="str">
            <v>III ANNO</v>
          </cell>
          <cell r="E442" t="str">
            <v>IV ANNO</v>
          </cell>
          <cell r="F442" t="str">
            <v>V ANNO</v>
          </cell>
        </row>
        <row r="444">
          <cell r="A444" t="str">
            <v>IMPIEGHI</v>
          </cell>
        </row>
        <row r="445">
          <cell r="A445" t="str">
            <v>Gestione caratteristica:</v>
          </cell>
        </row>
        <row r="446">
          <cell r="A446" t="str">
            <v>CASSA DESIDERATA</v>
          </cell>
          <cell r="B446">
            <v>1.1506297522022943E-2</v>
          </cell>
          <cell r="C446">
            <v>5.3710265387362623E-3</v>
          </cell>
          <cell r="D446">
            <v>3.1290389194390481E-3</v>
          </cell>
          <cell r="E446">
            <v>2.0351099594748947E-3</v>
          </cell>
          <cell r="F446">
            <v>1.3462334722345154E-3</v>
          </cell>
        </row>
        <row r="448">
          <cell r="A448" t="str">
            <v>Crediti v/clienti</v>
          </cell>
          <cell r="B448">
            <v>0</v>
          </cell>
          <cell r="C448">
            <v>0.32571193977265994</v>
          </cell>
          <cell r="D448">
            <v>0.47438107442047633</v>
          </cell>
          <cell r="E448">
            <v>0.4113798406882011</v>
          </cell>
          <cell r="F448">
            <v>0.34696502204569607</v>
          </cell>
        </row>
        <row r="449">
          <cell r="A449" t="str">
            <v>(-) Fondo svalutazione crediti</v>
          </cell>
          <cell r="B449">
            <v>0</v>
          </cell>
          <cell r="C449">
            <v>-1.6285596988632996E-3</v>
          </cell>
          <cell r="D449">
            <v>-3.3206675209433343E-3</v>
          </cell>
          <cell r="E449">
            <v>-4.2166433670540616E-3</v>
          </cell>
          <cell r="F449">
            <v>-4.5241517580468212E-3</v>
          </cell>
        </row>
        <row r="450">
          <cell r="A450" t="str">
            <v>Magazzino</v>
          </cell>
          <cell r="B450">
            <v>0</v>
          </cell>
          <cell r="C450">
            <v>0.32763261886291201</v>
          </cell>
          <cell r="D450">
            <v>0.47678730534952496</v>
          </cell>
          <cell r="E450">
            <v>0.413381710518338</v>
          </cell>
          <cell r="F450">
            <v>0.34867446930873947</v>
          </cell>
        </row>
        <row r="451">
          <cell r="A451" t="str">
            <v>(-) Debiti v/fornitori</v>
          </cell>
          <cell r="B451">
            <v>-0.33165656091666251</v>
          </cell>
          <cell r="C451">
            <v>-7.4425133121429857E-2</v>
          </cell>
          <cell r="D451">
            <v>-7.9152433118521451E-2</v>
          </cell>
          <cell r="E451">
            <v>-5.6813538746638359E-2</v>
          </cell>
          <cell r="F451">
            <v>-3.9412639252895773E-2</v>
          </cell>
        </row>
        <row r="452">
          <cell r="A452" t="str">
            <v xml:space="preserve">(+/-) Saldo posizione IVA v/Erario </v>
          </cell>
          <cell r="B452">
            <v>0.32639914180722479</v>
          </cell>
          <cell r="C452">
            <v>-1.6342207608351273E-2</v>
          </cell>
          <cell r="D452">
            <v>-2.8802439554812698E-2</v>
          </cell>
          <cell r="E452">
            <v>-2.6119427907683582E-2</v>
          </cell>
          <cell r="F452">
            <v>-2.2726301720222542E-2</v>
          </cell>
        </row>
        <row r="453">
          <cell r="A453" t="str">
            <v>(-) Debiti vs. Enti Previdenziali</v>
          </cell>
          <cell r="B453">
            <v>-7.8313631134506928E-2</v>
          </cell>
          <cell r="C453">
            <v>-5.3899325521526147E-2</v>
          </cell>
          <cell r="D453">
            <v>-5.1070721369025532E-2</v>
          </cell>
          <cell r="E453">
            <v>-4.3461689444124221E-2</v>
          </cell>
          <cell r="F453">
            <v>-3.4169635653679614E-2</v>
          </cell>
        </row>
        <row r="454">
          <cell r="A454" t="str">
            <v>CAPITALE CIRCOLANTE OPERATIVO NETTO</v>
          </cell>
          <cell r="B454">
            <v>-8.3571050243944595E-2</v>
          </cell>
          <cell r="C454">
            <v>0.50704933268540131</v>
          </cell>
          <cell r="D454">
            <v>0.78882211820669845</v>
          </cell>
          <cell r="E454">
            <v>0.69415025174103895</v>
          </cell>
          <cell r="F454">
            <v>0.5948067629695909</v>
          </cell>
        </row>
        <row r="456">
          <cell r="A456" t="str">
            <v>Fabbricati</v>
          </cell>
          <cell r="B456">
            <v>0</v>
          </cell>
          <cell r="C456">
            <v>0</v>
          </cell>
          <cell r="D456">
            <v>0</v>
          </cell>
          <cell r="E456">
            <v>0</v>
          </cell>
          <cell r="F456">
            <v>0</v>
          </cell>
        </row>
        <row r="457">
          <cell r="A457" t="str">
            <v>Impianti e macchinari</v>
          </cell>
          <cell r="B457">
            <v>0.71223981661322011</v>
          </cell>
          <cell r="C457">
            <v>0.33246654274777465</v>
          </cell>
          <cell r="D457">
            <v>0.19368750911327709</v>
          </cell>
          <cell r="E457">
            <v>0.12597330649149599</v>
          </cell>
          <cell r="F457">
            <v>8.3331851931316495E-2</v>
          </cell>
        </row>
        <row r="458">
          <cell r="A458" t="str">
            <v>Mobili e arredi</v>
          </cell>
          <cell r="B458">
            <v>0.52928968601305537</v>
          </cell>
          <cell r="C458">
            <v>0.42302205019086803</v>
          </cell>
          <cell r="D458">
            <v>0.40546086318091185</v>
          </cell>
          <cell r="E458">
            <v>0.37055282142118884</v>
          </cell>
          <cell r="F458">
            <v>0.30788359510003366</v>
          </cell>
        </row>
        <row r="459">
          <cell r="A459" t="str">
            <v>Attrezzature</v>
          </cell>
          <cell r="B459">
            <v>4.1422671079282596E-2</v>
          </cell>
          <cell r="C459">
            <v>1.9335695539450543E-2</v>
          </cell>
          <cell r="D459">
            <v>1.1264540109980573E-2</v>
          </cell>
          <cell r="E459">
            <v>7.326395854109621E-3</v>
          </cell>
          <cell r="F459">
            <v>4.8464405000442556E-3</v>
          </cell>
        </row>
        <row r="460">
          <cell r="A460" t="str">
            <v>(-) Fondi ammortamento</v>
          </cell>
          <cell r="B460">
            <v>-0.12725965059357375</v>
          </cell>
          <cell r="C460">
            <v>-0.19580614349616918</v>
          </cell>
          <cell r="D460">
            <v>-0.21968982253381558</v>
          </cell>
          <cell r="E460">
            <v>-0.23260492792814258</v>
          </cell>
          <cell r="F460">
            <v>-0.22656301597623554</v>
          </cell>
        </row>
        <row r="461">
          <cell r="A461" t="str">
            <v>IMMOBILIZZAZIONI TECNICHE NETTE</v>
          </cell>
          <cell r="B461">
            <v>1.1556925231119843</v>
          </cell>
          <cell r="C461">
            <v>0.57901814498192405</v>
          </cell>
          <cell r="D461">
            <v>0.39072308987035392</v>
          </cell>
          <cell r="E461">
            <v>0.27124759583865188</v>
          </cell>
          <cell r="F461">
            <v>0.16949887155515889</v>
          </cell>
        </row>
        <row r="463">
          <cell r="A463" t="str">
            <v>IMMOBILIZZAZIONI IMMATERIALI</v>
          </cell>
          <cell r="B463">
            <v>0</v>
          </cell>
          <cell r="C463">
            <v>0</v>
          </cell>
          <cell r="D463">
            <v>0</v>
          </cell>
          <cell r="E463">
            <v>0</v>
          </cell>
          <cell r="F463">
            <v>0</v>
          </cell>
        </row>
        <row r="465">
          <cell r="A465" t="str">
            <v>(-) Fondo T.F.R.</v>
          </cell>
          <cell r="B465">
            <v>-8.362777039006275E-2</v>
          </cell>
          <cell r="C465">
            <v>-9.143850420606163E-2</v>
          </cell>
          <cell r="D465">
            <v>-0.10129367344937391</v>
          </cell>
          <cell r="E465">
            <v>-0.10469471418193368</v>
          </cell>
          <cell r="F465">
            <v>-9.8025445139733755E-2</v>
          </cell>
        </row>
        <row r="466">
          <cell r="B466">
            <v>0</v>
          </cell>
          <cell r="C466">
            <v>0</v>
          </cell>
          <cell r="D466">
            <v>0</v>
          </cell>
          <cell r="E466">
            <v>0</v>
          </cell>
          <cell r="F466">
            <v>0</v>
          </cell>
        </row>
        <row r="467">
          <cell r="A467" t="str">
            <v>CAPITALE INVESTITO NETTO DELLA GESTIONE CARATTERISTICA</v>
          </cell>
          <cell r="B467">
            <v>1</v>
          </cell>
          <cell r="C467">
            <v>1</v>
          </cell>
          <cell r="D467">
            <v>1.0813805735471176</v>
          </cell>
          <cell r="E467">
            <v>0.86273824335723204</v>
          </cell>
          <cell r="F467">
            <v>0.6676264228572506</v>
          </cell>
        </row>
        <row r="469">
          <cell r="A469" t="str">
            <v>Gestione extra-caratteristica:</v>
          </cell>
          <cell r="B469">
            <v>0</v>
          </cell>
          <cell r="C469">
            <v>0</v>
          </cell>
          <cell r="D469">
            <v>0</v>
          </cell>
          <cell r="E469">
            <v>0</v>
          </cell>
          <cell r="F469">
            <v>0</v>
          </cell>
        </row>
        <row r="471">
          <cell r="A471" t="str">
            <v>CREDITI VS. BANCHE</v>
          </cell>
          <cell r="B471">
            <v>0</v>
          </cell>
          <cell r="C471">
            <v>0</v>
          </cell>
          <cell r="D471">
            <v>4.1787041485582738E-2</v>
          </cell>
          <cell r="E471">
            <v>0.46070760455377602</v>
          </cell>
          <cell r="F471">
            <v>0.45624745982496323</v>
          </cell>
        </row>
        <row r="473">
          <cell r="A473" t="str">
            <v>Crediti diversi</v>
          </cell>
          <cell r="B473">
            <v>1.1506297522022944E-8</v>
          </cell>
          <cell r="C473">
            <v>5.3710265387362625E-9</v>
          </cell>
          <cell r="D473">
            <v>3.1290389194390482E-9</v>
          </cell>
          <cell r="E473">
            <v>2.0351099594748948E-9</v>
          </cell>
          <cell r="F473">
            <v>1.3462334722345155E-9</v>
          </cell>
        </row>
        <row r="474">
          <cell r="A474" t="str">
            <v xml:space="preserve">(-) Debiti diversi </v>
          </cell>
          <cell r="B474">
            <v>-1.1506297522022944E-8</v>
          </cell>
          <cell r="C474">
            <v>-5.3710265387362625E-9</v>
          </cell>
          <cell r="D474">
            <v>-3.1290389194390482E-9</v>
          </cell>
          <cell r="E474">
            <v>-2.0351099594748948E-9</v>
          </cell>
          <cell r="F474">
            <v>-1.3462334722345155E-9</v>
          </cell>
        </row>
        <row r="475">
          <cell r="A475" t="str">
            <v>Crediti v/Erario ( Imposte)</v>
          </cell>
          <cell r="B475">
            <v>0</v>
          </cell>
          <cell r="C475">
            <v>0</v>
          </cell>
          <cell r="D475">
            <v>0</v>
          </cell>
          <cell r="E475">
            <v>7.8505398482259708E-2</v>
          </cell>
          <cell r="F475">
            <v>0.26057452826569083</v>
          </cell>
        </row>
        <row r="476">
          <cell r="A476" t="str">
            <v>(-) Fondo Imposte</v>
          </cell>
          <cell r="B476">
            <v>0</v>
          </cell>
          <cell r="C476">
            <v>0</v>
          </cell>
          <cell r="D476">
            <v>-0.12316761503270032</v>
          </cell>
          <cell r="E476">
            <v>-0.40195124639326762</v>
          </cell>
          <cell r="F476">
            <v>-0.38444841094790472</v>
          </cell>
        </row>
        <row r="477">
          <cell r="A477" t="str">
            <v>ALTRI ELEMENTI DEL CAPITALE INVESTITO</v>
          </cell>
          <cell r="B477">
            <v>0</v>
          </cell>
          <cell r="C477">
            <v>0</v>
          </cell>
          <cell r="D477">
            <v>-0.12316761503270032</v>
          </cell>
          <cell r="E477">
            <v>-0.32344584791100794</v>
          </cell>
          <cell r="F477">
            <v>-0.12387388268221386</v>
          </cell>
        </row>
        <row r="479">
          <cell r="A479" t="str">
            <v>CAPITALE INVESTITO NETTO DELLA GESTIONE EXTRA-CARATTERISTICA</v>
          </cell>
          <cell r="B479">
            <v>0</v>
          </cell>
          <cell r="C479">
            <v>0</v>
          </cell>
          <cell r="D479">
            <v>-8.1380573547117585E-2</v>
          </cell>
          <cell r="E479">
            <v>0.1372617566427681</v>
          </cell>
          <cell r="F479">
            <v>0.3323735771427494</v>
          </cell>
        </row>
        <row r="481">
          <cell r="A481" t="str">
            <v>CAPITALE INVESTITO NETTO</v>
          </cell>
          <cell r="B481">
            <v>1</v>
          </cell>
          <cell r="C481">
            <v>1</v>
          </cell>
          <cell r="D481">
            <v>1</v>
          </cell>
          <cell r="E481">
            <v>1</v>
          </cell>
          <cell r="F481">
            <v>1</v>
          </cell>
        </row>
        <row r="484">
          <cell r="B484" t="str">
            <v>START-UP</v>
          </cell>
          <cell r="C484" t="str">
            <v>II ANNO</v>
          </cell>
          <cell r="D484" t="str">
            <v>III ANNO</v>
          </cell>
          <cell r="E484" t="str">
            <v>IV ANNO</v>
          </cell>
          <cell r="F484" t="str">
            <v>V ANNO</v>
          </cell>
        </row>
        <row r="486">
          <cell r="A486" t="str">
            <v>FONTI</v>
          </cell>
        </row>
        <row r="488">
          <cell r="A488" t="str">
            <v>Debiti v/banche</v>
          </cell>
          <cell r="B488">
            <v>2.8331253606069113</v>
          </cell>
          <cell r="C488">
            <v>0.60599734138133843</v>
          </cell>
          <cell r="D488">
            <v>0</v>
          </cell>
          <cell r="E488">
            <v>0</v>
          </cell>
          <cell r="F488">
            <v>0</v>
          </cell>
        </row>
        <row r="489">
          <cell r="A489" t="str">
            <v>PASSIVITA' CORRENTI</v>
          </cell>
          <cell r="B489">
            <v>2.8331253606069113</v>
          </cell>
          <cell r="C489">
            <v>0.60599734138133843</v>
          </cell>
          <cell r="D489">
            <v>0</v>
          </cell>
          <cell r="E489">
            <v>0</v>
          </cell>
          <cell r="F489">
            <v>0</v>
          </cell>
        </row>
        <row r="491">
          <cell r="A491" t="str">
            <v>Mutui</v>
          </cell>
          <cell r="B491">
            <v>0.53464821052189282</v>
          </cell>
          <cell r="C491">
            <v>0.20722501995953582</v>
          </cell>
          <cell r="D491">
            <v>9.2217234930001279E-2</v>
          </cell>
          <cell r="E491">
            <v>3.8551088390596289E-2</v>
          </cell>
          <cell r="F491">
            <v>9.122198694631314E-3</v>
          </cell>
        </row>
        <row r="492">
          <cell r="A492" t="str">
            <v>PASSIVITA' IMMOBILIZZATE</v>
          </cell>
          <cell r="B492">
            <v>0.53464821052189282</v>
          </cell>
          <cell r="C492">
            <v>0.20722501995953582</v>
          </cell>
          <cell r="D492">
            <v>9.2217234930001279E-2</v>
          </cell>
          <cell r="E492">
            <v>3.8551088390596289E-2</v>
          </cell>
          <cell r="F492">
            <v>9.122198694631314E-3</v>
          </cell>
        </row>
        <row r="494">
          <cell r="A494" t="str">
            <v>PASSIVITA' TOTALI</v>
          </cell>
          <cell r="B494">
            <v>3.3677735711288044</v>
          </cell>
          <cell r="C494">
            <v>0.81322236134087433</v>
          </cell>
          <cell r="D494">
            <v>9.2217234930001279E-2</v>
          </cell>
          <cell r="E494">
            <v>3.8551088390596289E-2</v>
          </cell>
          <cell r="F494">
            <v>9.122198694631314E-3</v>
          </cell>
        </row>
        <row r="496">
          <cell r="A496" t="str">
            <v>Capitale sociale</v>
          </cell>
          <cell r="B496">
            <v>0.27615114052855061</v>
          </cell>
          <cell r="C496">
            <v>1.3630626939026003</v>
          </cell>
          <cell r="D496">
            <v>0.7940895819628907</v>
          </cell>
          <cell r="E496">
            <v>0.5164715615802089</v>
          </cell>
          <cell r="F496">
            <v>0.34164802762594121</v>
          </cell>
        </row>
        <row r="497">
          <cell r="A497" t="str">
            <v>Riserva legale</v>
          </cell>
          <cell r="B497">
            <v>0</v>
          </cell>
          <cell r="C497">
            <v>0</v>
          </cell>
          <cell r="D497">
            <v>1.6857752748959314E-3</v>
          </cell>
          <cell r="E497">
            <v>2.7078717641718739E-2</v>
          </cell>
          <cell r="F497">
            <v>3.01846370856068E-2</v>
          </cell>
        </row>
        <row r="498">
          <cell r="A498" t="str">
            <v>Contributi in c/capitale</v>
          </cell>
          <cell r="B498">
            <v>0</v>
          </cell>
          <cell r="C498">
            <v>0</v>
          </cell>
          <cell r="D498">
            <v>0</v>
          </cell>
          <cell r="E498">
            <v>0</v>
          </cell>
          <cell r="F498">
            <v>0</v>
          </cell>
        </row>
        <row r="499">
          <cell r="A499" t="str">
            <v>Risultati esercizi precedenti</v>
          </cell>
          <cell r="B499">
            <v>0</v>
          </cell>
          <cell r="C499">
            <v>-1.23415805697293</v>
          </cell>
          <cell r="D499">
            <v>-0.68696291767333095</v>
          </cell>
          <cell r="E499">
            <v>4.6866712639844529E-2</v>
          </cell>
          <cell r="F499">
            <v>0.26416968033421628</v>
          </cell>
        </row>
        <row r="500">
          <cell r="A500" t="str">
            <v>Risultato d'esercizio</v>
          </cell>
          <cell r="B500">
            <v>-2.643924711657355</v>
          </cell>
          <cell r="C500">
            <v>5.7873001729455399E-2</v>
          </cell>
          <cell r="D500">
            <v>0.79897032550554292</v>
          </cell>
          <cell r="E500">
            <v>0.37103191974763167</v>
          </cell>
          <cell r="F500">
            <v>0.35487545625960432</v>
          </cell>
        </row>
        <row r="501">
          <cell r="A501" t="str">
            <v>PATRIMONIO NETTO</v>
          </cell>
          <cell r="B501">
            <v>-2.3677735711288044</v>
          </cell>
          <cell r="C501">
            <v>0.18677763865912569</v>
          </cell>
          <cell r="D501">
            <v>0.90778276506999867</v>
          </cell>
          <cell r="E501">
            <v>0.96144891160940371</v>
          </cell>
          <cell r="F501">
            <v>0.99087780130536862</v>
          </cell>
        </row>
        <row r="503">
          <cell r="A503" t="str">
            <v>TOTALE PASSIVO E PATRIMONIO NETTO</v>
          </cell>
          <cell r="B503">
            <v>1.0000000000000002</v>
          </cell>
          <cell r="C503">
            <v>1</v>
          </cell>
          <cell r="D503">
            <v>1</v>
          </cell>
          <cell r="E503">
            <v>1</v>
          </cell>
          <cell r="F503">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refreshError="1"/>
      <sheetData sheetId="77" refreshError="1"/>
      <sheetData sheetId="78"/>
      <sheetData sheetId="79"/>
      <sheetData sheetId="80"/>
      <sheetData sheetId="81" refreshError="1"/>
      <sheetData sheetId="82"/>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ù principale"/>
      <sheetName val="Variazioni Patr. Netto"/>
      <sheetName val="Dati Extra Bilancio"/>
      <sheetName val="Stato Patrimoniale"/>
      <sheetName val="Conto Economico"/>
      <sheetName val="CEBI"/>
      <sheetName val="S.P. Finanziario %"/>
      <sheetName val="S.P. di Pertinenza"/>
      <sheetName val="S.P."/>
      <sheetName val="Conto Economico CEBI"/>
      <sheetName val="C.E. CEBI %"/>
      <sheetName val="C.E. a margine di contribuzione"/>
      <sheetName val=" rendiconto monetario"/>
      <sheetName val="S.P. per rendiconto"/>
      <sheetName val=" rendiconto monetario per eserc"/>
      <sheetName val=" rendiconto monetario per leasi"/>
      <sheetName val=" rendiconto monetario circolazi"/>
      <sheetName val="Margini di Solidità"/>
      <sheetName val="Margini di Liquidità"/>
      <sheetName val="Margini S.P. di Pertinenza"/>
      <sheetName val="Analisi dell'Economicità Netta"/>
      <sheetName val="dettagli M&amp;M"/>
      <sheetName val="dettaglio leve combinate"/>
      <sheetName val="dett. ROI e leva comm."/>
      <sheetName val="Analisi dell'Economicità Op."/>
      <sheetName val="Schema esercitazione"/>
      <sheetName val="dettaglio du pont"/>
      <sheetName val="dettaglio indici produttività"/>
      <sheetName val="dettaglio tassi accumulazione"/>
      <sheetName val="dettaglio indici di sviluppo"/>
      <sheetName val="dettaglio turnover"/>
      <sheetName val=" Solidità Patrimoniale"/>
      <sheetName val="Indici di Liquidità-gg. ciclo "/>
      <sheetName val="dettaglio liquidità"/>
      <sheetName val="dettaglio copertura e pnr"/>
      <sheetName val="dettaglio composizione"/>
      <sheetName val="sintesi"/>
      <sheetName val="CRUSCOTTO"/>
      <sheetName val="F.L. per seg. rep."/>
      <sheetName val="segmental reporting"/>
      <sheetName val="RICLASS. ASA"/>
      <sheetName val="ROI ASA"/>
      <sheetName val="FLUSSI"/>
      <sheetName val="Modulo2"/>
      <sheetName val="Modulo3"/>
      <sheetName val="Modulo4"/>
      <sheetName val="Modulo7"/>
      <sheetName val="Modulo1"/>
      <sheetName val="Modulo8"/>
      <sheetName val="Modulo5"/>
      <sheetName val="Modulo10"/>
      <sheetName val="Modulo9"/>
    </sheetNames>
    <sheetDataSet>
      <sheetData sheetId="0"/>
      <sheetData sheetId="1"/>
      <sheetData sheetId="2"/>
      <sheetData sheetId="3"/>
      <sheetData sheetId="4"/>
      <sheetData sheetId="5">
        <row r="9">
          <cell r="F9">
            <v>4578328</v>
          </cell>
          <cell r="H9">
            <v>4211432</v>
          </cell>
          <cell r="J9">
            <v>3586109</v>
          </cell>
        </row>
        <row r="11">
          <cell r="F11">
            <v>76079</v>
          </cell>
          <cell r="H11">
            <v>34100</v>
          </cell>
          <cell r="J11">
            <v>44036</v>
          </cell>
        </row>
        <row r="18">
          <cell r="H18">
            <v>4864276</v>
          </cell>
          <cell r="J18">
            <v>4015923</v>
          </cell>
        </row>
        <row r="21">
          <cell r="E21">
            <v>892394</v>
          </cell>
          <cell r="G21">
            <v>766787</v>
          </cell>
          <cell r="I21">
            <v>699790</v>
          </cell>
        </row>
        <row r="22">
          <cell r="E22">
            <v>2783632</v>
          </cell>
          <cell r="G22">
            <v>2154598</v>
          </cell>
          <cell r="I22">
            <v>2625005</v>
          </cell>
        </row>
        <row r="25">
          <cell r="F25">
            <v>2110084</v>
          </cell>
          <cell r="H25">
            <v>1946487</v>
          </cell>
          <cell r="J25">
            <v>1890455</v>
          </cell>
        </row>
        <row r="27">
          <cell r="F27">
            <v>648702</v>
          </cell>
          <cell r="H27">
            <v>154254</v>
          </cell>
          <cell r="J27">
            <v>0</v>
          </cell>
        </row>
        <row r="29">
          <cell r="F29">
            <v>75181</v>
          </cell>
          <cell r="H29">
            <v>100072</v>
          </cell>
          <cell r="J29">
            <v>94334</v>
          </cell>
        </row>
        <row r="33">
          <cell r="F33">
            <v>248312</v>
          </cell>
          <cell r="H33">
            <v>262540</v>
          </cell>
          <cell r="J33">
            <v>488586</v>
          </cell>
        </row>
        <row r="37">
          <cell r="F37">
            <v>10297</v>
          </cell>
          <cell r="H37">
            <v>5724</v>
          </cell>
          <cell r="J37">
            <v>83929</v>
          </cell>
        </row>
        <row r="39">
          <cell r="H39">
            <v>5390462</v>
          </cell>
          <cell r="J39">
            <v>5882099</v>
          </cell>
        </row>
        <row r="62">
          <cell r="F62">
            <v>3371903</v>
          </cell>
          <cell r="H62">
            <v>3780766</v>
          </cell>
          <cell r="J62">
            <v>4656184</v>
          </cell>
        </row>
        <row r="75">
          <cell r="F75">
            <v>4993938</v>
          </cell>
          <cell r="H75">
            <v>5092835</v>
          </cell>
          <cell r="J75">
            <v>5836688</v>
          </cell>
        </row>
        <row r="95">
          <cell r="F95">
            <v>7004017</v>
          </cell>
          <cell r="H95">
            <v>5161903</v>
          </cell>
          <cell r="J95">
            <v>4061334</v>
          </cell>
        </row>
      </sheetData>
      <sheetData sheetId="6"/>
      <sheetData sheetId="7">
        <row r="91">
          <cell r="C91">
            <v>3688370</v>
          </cell>
          <cell r="D91">
            <v>2470458</v>
          </cell>
          <cell r="E91">
            <v>1103427</v>
          </cell>
        </row>
      </sheetData>
      <sheetData sheetId="8"/>
      <sheetData sheetId="9">
        <row r="5">
          <cell r="C5">
            <v>14734815</v>
          </cell>
          <cell r="D5">
            <v>13627862</v>
          </cell>
          <cell r="E5">
            <v>12695001</v>
          </cell>
        </row>
        <row r="47">
          <cell r="C47">
            <v>1014194</v>
          </cell>
          <cell r="D47">
            <v>618631</v>
          </cell>
          <cell r="E47">
            <v>214853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Scheda"/>
      <sheetName val="Azionisti"/>
      <sheetName val="2 - Schema CEE"/>
      <sheetName val="SP"/>
      <sheetName val="CE"/>
      <sheetName val="Report"/>
      <sheetName val="Grandezze"/>
      <sheetName val="Indici"/>
      <sheetName val="Analisi"/>
      <sheetName val="Benchmark"/>
      <sheetName val="(---)"/>
      <sheetName val="FattMensile"/>
      <sheetName val="Fatturato"/>
      <sheetName val="Clienti"/>
      <sheetName val="Macchinari"/>
      <sheetName val="Ke"/>
      <sheetName val="Risultato"/>
      <sheetName val="Ricavi"/>
      <sheetName val="Costi"/>
      <sheetName val="Immob"/>
      <sheetName val="CCN"/>
      <sheetName val="PFN"/>
      <sheetName val="Struttura"/>
      <sheetName val="EBITDAsuVAL"/>
      <sheetName val="CE Cob"/>
      <sheetName val="SP Cob"/>
      <sheetName val="Menu"/>
      <sheetName val="1 - InputGenerali"/>
      <sheetName val="5 - Finale_SP"/>
      <sheetName val="6 - Finale_CE"/>
      <sheetName val="7 - Cash Flow"/>
      <sheetName val="8a - Indici"/>
      <sheetName val="8b - Grandezze"/>
      <sheetName val="8c - DuPont)"/>
      <sheetName val="9 - Confronto Dati Settore"/>
      <sheetName val="Competitors"/>
      <sheetName val="9bis - Grafici"/>
      <sheetName val="10 - Analisi Orizzontale"/>
      <sheetName val="11 - Analisi Verticale"/>
      <sheetName val="&l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
          <cell r="R1">
            <v>1936.27</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P"/>
    </sheetNames>
    <sheetDataSet>
      <sheetData sheetId="0">
        <row r="5">
          <cell r="E5">
            <v>0.64952806756085446</v>
          </cell>
        </row>
        <row r="15">
          <cell r="B15">
            <v>103.89999999999998</v>
          </cell>
          <cell r="C15">
            <v>211.64999999999998</v>
          </cell>
          <cell r="D15">
            <v>67.485966219572759</v>
          </cell>
          <cell r="E15">
            <v>279.13596621957277</v>
          </cell>
        </row>
        <row r="16">
          <cell r="B16">
            <v>153.89999999999998</v>
          </cell>
          <cell r="C16">
            <v>211.64999999999998</v>
          </cell>
          <cell r="D16">
            <v>99.962369597615492</v>
          </cell>
          <cell r="E16">
            <v>311.6123695976155</v>
          </cell>
        </row>
        <row r="17">
          <cell r="B17">
            <v>203.89999999999998</v>
          </cell>
          <cell r="C17">
            <v>211.64999999999998</v>
          </cell>
          <cell r="D17">
            <v>132.4387729756582</v>
          </cell>
          <cell r="E17">
            <v>344.08877297565817</v>
          </cell>
        </row>
        <row r="18">
          <cell r="B18">
            <v>253.89999999999998</v>
          </cell>
          <cell r="C18">
            <v>211.64999999999998</v>
          </cell>
          <cell r="D18">
            <v>164.91517635370093</v>
          </cell>
          <cell r="E18">
            <v>376.56517635370091</v>
          </cell>
        </row>
        <row r="19">
          <cell r="B19">
            <v>303.89999999999998</v>
          </cell>
          <cell r="C19">
            <v>211.64999999999998</v>
          </cell>
          <cell r="D19">
            <v>197.39157973174366</v>
          </cell>
          <cell r="E19">
            <v>409.04157973174364</v>
          </cell>
        </row>
        <row r="20">
          <cell r="B20">
            <v>353.9</v>
          </cell>
          <cell r="C20">
            <v>211.64999999999998</v>
          </cell>
          <cell r="D20">
            <v>229.86798310978637</v>
          </cell>
          <cell r="E20">
            <v>441.51798310978631</v>
          </cell>
        </row>
        <row r="21">
          <cell r="B21">
            <v>403.9</v>
          </cell>
          <cell r="C21">
            <v>211.64999999999998</v>
          </cell>
          <cell r="D21">
            <v>262.34438648782913</v>
          </cell>
          <cell r="E21">
            <v>473.9943864878291</v>
          </cell>
        </row>
        <row r="22">
          <cell r="B22">
            <v>453.9</v>
          </cell>
          <cell r="C22">
            <v>211.64999999999998</v>
          </cell>
          <cell r="D22">
            <v>294.8207898658718</v>
          </cell>
          <cell r="E22">
            <v>506.47078986587178</v>
          </cell>
        </row>
        <row r="23">
          <cell r="B23">
            <v>503.9</v>
          </cell>
          <cell r="C23">
            <v>211.64999999999998</v>
          </cell>
          <cell r="D23">
            <v>327.29719324391453</v>
          </cell>
          <cell r="E23">
            <v>538.94719324391451</v>
          </cell>
        </row>
        <row r="24">
          <cell r="B24">
            <v>553.9</v>
          </cell>
          <cell r="C24">
            <v>211.64999999999998</v>
          </cell>
          <cell r="D24">
            <v>359.77359662195727</v>
          </cell>
          <cell r="E24">
            <v>571.42359662195724</v>
          </cell>
        </row>
        <row r="25">
          <cell r="B25">
            <v>603.9</v>
          </cell>
          <cell r="C25">
            <v>211.64999999999998</v>
          </cell>
          <cell r="D25">
            <v>392.25</v>
          </cell>
          <cell r="E25">
            <v>603.9</v>
          </cell>
        </row>
        <row r="26">
          <cell r="B26">
            <v>653.9</v>
          </cell>
          <cell r="C26">
            <v>211.64999999999998</v>
          </cell>
          <cell r="D26">
            <v>424.72640337804273</v>
          </cell>
          <cell r="E26">
            <v>636.37640337804271</v>
          </cell>
        </row>
        <row r="27">
          <cell r="B27">
            <v>703.9</v>
          </cell>
          <cell r="C27">
            <v>211.64999999999998</v>
          </cell>
          <cell r="D27">
            <v>457.20280675608547</v>
          </cell>
          <cell r="E27">
            <v>668.85280675608544</v>
          </cell>
        </row>
        <row r="28">
          <cell r="B28">
            <v>753.9</v>
          </cell>
          <cell r="C28">
            <v>211.64999999999998</v>
          </cell>
          <cell r="D28">
            <v>489.67921013412814</v>
          </cell>
          <cell r="E28">
            <v>701.32921013412806</v>
          </cell>
        </row>
        <row r="29">
          <cell r="B29">
            <v>803.9</v>
          </cell>
          <cell r="C29">
            <v>211.64999999999998</v>
          </cell>
          <cell r="D29">
            <v>522.15561351217093</v>
          </cell>
          <cell r="E29">
            <v>733.80561351217091</v>
          </cell>
        </row>
        <row r="30">
          <cell r="B30">
            <v>853.9</v>
          </cell>
          <cell r="C30">
            <v>211.64999999999998</v>
          </cell>
          <cell r="D30">
            <v>554.63201689021366</v>
          </cell>
          <cell r="E30">
            <v>766.28201689021364</v>
          </cell>
        </row>
        <row r="31">
          <cell r="B31">
            <v>903.9</v>
          </cell>
          <cell r="C31">
            <v>211.64999999999998</v>
          </cell>
          <cell r="D31">
            <v>587.10842026825628</v>
          </cell>
          <cell r="E31">
            <v>798.75842026825626</v>
          </cell>
        </row>
        <row r="32">
          <cell r="B32">
            <v>953.9</v>
          </cell>
          <cell r="C32">
            <v>211.64999999999998</v>
          </cell>
          <cell r="D32">
            <v>619.58482364629901</v>
          </cell>
          <cell r="E32">
            <v>831.23482364629899</v>
          </cell>
        </row>
        <row r="33">
          <cell r="B33">
            <v>1003.9</v>
          </cell>
          <cell r="C33">
            <v>211.64999999999998</v>
          </cell>
          <cell r="D33">
            <v>652.06122702434175</v>
          </cell>
          <cell r="E33">
            <v>863.71122702434172</v>
          </cell>
        </row>
        <row r="34">
          <cell r="B34">
            <v>1053.9000000000001</v>
          </cell>
          <cell r="C34">
            <v>211.64999999999998</v>
          </cell>
          <cell r="D34">
            <v>684.53763040238459</v>
          </cell>
          <cell r="E34">
            <v>896.18763040238457</v>
          </cell>
        </row>
        <row r="35">
          <cell r="B35">
            <v>1103.9000000000001</v>
          </cell>
          <cell r="C35">
            <v>211.64999999999998</v>
          </cell>
          <cell r="D35">
            <v>717.01403378042733</v>
          </cell>
          <cell r="E35">
            <v>928.6640337804273</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3:M41"/>
  <sheetViews>
    <sheetView showFormulas="1" showRowColHeaders="0" tabSelected="1" workbookViewId="0">
      <selection activeCell="K15" sqref="K15"/>
    </sheetView>
  </sheetViews>
  <sheetFormatPr defaultColWidth="9.109375" defaultRowHeight="12.05" customHeight="1"/>
  <cols>
    <col min="1" max="1" width="4.109375" style="286" customWidth="1"/>
    <col min="2" max="2" width="14.88671875" style="286" customWidth="1"/>
    <col min="3" max="10" width="4.109375" style="286" customWidth="1"/>
    <col min="11" max="11" width="11.44140625" style="286" customWidth="1"/>
    <col min="12" max="12" width="8.6640625" style="286" hidden="1" customWidth="1"/>
    <col min="13" max="13" width="9.109375" style="286" hidden="1" customWidth="1"/>
    <col min="14" max="16384" width="9.109375" style="286"/>
  </cols>
  <sheetData>
    <row r="13" spans="1:13" ht="13.15">
      <c r="A13" s="285"/>
      <c r="B13" s="285"/>
      <c r="C13" s="285"/>
      <c r="D13" s="285"/>
      <c r="E13" s="285"/>
      <c r="F13" s="285"/>
      <c r="G13" s="285"/>
      <c r="H13" s="285"/>
      <c r="I13" s="285"/>
      <c r="J13" s="285"/>
      <c r="K13" s="285"/>
      <c r="L13" s="285"/>
      <c r="M13" s="285"/>
    </row>
    <row r="14" spans="1:13" ht="5.95" customHeight="1">
      <c r="A14" s="746"/>
      <c r="B14" s="746"/>
      <c r="C14" s="746"/>
      <c r="D14" s="746"/>
      <c r="E14" s="746"/>
      <c r="F14" s="746"/>
      <c r="G14" s="746"/>
      <c r="H14" s="746"/>
      <c r="I14" s="746"/>
      <c r="J14" s="746"/>
      <c r="K14" s="746"/>
      <c r="L14" s="746"/>
      <c r="M14" s="746"/>
    </row>
    <row r="15" spans="1:13" ht="5.95" customHeight="1">
      <c r="A15" s="293"/>
      <c r="B15" s="293"/>
      <c r="C15" s="293"/>
      <c r="D15" s="293"/>
      <c r="E15" s="293"/>
      <c r="F15" s="293"/>
      <c r="G15" s="293"/>
      <c r="H15" s="293"/>
      <c r="I15" s="293"/>
      <c r="J15" s="293"/>
      <c r="K15" s="293"/>
      <c r="L15" s="293"/>
      <c r="M15" s="293"/>
    </row>
    <row r="16" spans="1:13" ht="5.95" customHeight="1">
      <c r="A16" s="293"/>
      <c r="B16" s="293"/>
      <c r="C16" s="293"/>
      <c r="D16" s="293"/>
      <c r="E16" s="293"/>
      <c r="F16" s="293"/>
      <c r="G16" s="293"/>
      <c r="H16" s="293"/>
      <c r="I16" s="293"/>
      <c r="J16" s="293"/>
      <c r="K16" s="293"/>
      <c r="L16" s="293"/>
      <c r="M16" s="293"/>
    </row>
    <row r="17" spans="1:13" ht="5.95" customHeight="1">
      <c r="A17" s="293"/>
      <c r="B17" s="293"/>
      <c r="C17" s="293"/>
      <c r="D17" s="293"/>
      <c r="E17" s="293"/>
      <c r="F17" s="293"/>
      <c r="G17" s="293"/>
      <c r="H17" s="293"/>
      <c r="I17" s="293"/>
      <c r="J17" s="293"/>
      <c r="K17" s="293"/>
      <c r="L17" s="293"/>
      <c r="M17" s="293"/>
    </row>
    <row r="18" spans="1:13" ht="5.95" customHeight="1">
      <c r="A18" s="293"/>
      <c r="B18" s="293"/>
      <c r="C18" s="293"/>
      <c r="D18" s="293"/>
      <c r="E18" s="293"/>
      <c r="F18" s="293"/>
      <c r="G18" s="293"/>
      <c r="H18" s="293"/>
      <c r="I18" s="293"/>
      <c r="J18" s="293"/>
      <c r="K18" s="293"/>
      <c r="L18" s="293"/>
      <c r="M18" s="293"/>
    </row>
    <row r="19" spans="1:13" ht="5.95" customHeight="1">
      <c r="A19" s="293"/>
      <c r="B19" s="293"/>
      <c r="C19" s="293"/>
      <c r="D19" s="293"/>
      <c r="E19" s="293"/>
      <c r="F19" s="293"/>
      <c r="G19" s="293"/>
      <c r="H19" s="293"/>
      <c r="I19" s="293"/>
      <c r="J19" s="293"/>
      <c r="K19" s="293"/>
      <c r="L19" s="293"/>
      <c r="M19" s="293"/>
    </row>
    <row r="20" spans="1:13" ht="5.95" customHeight="1">
      <c r="A20" s="293"/>
      <c r="B20" s="293"/>
      <c r="C20" s="293"/>
      <c r="D20" s="293"/>
      <c r="E20" s="293"/>
      <c r="F20" s="293"/>
      <c r="G20" s="293"/>
      <c r="H20" s="293"/>
      <c r="I20" s="293"/>
      <c r="J20" s="293"/>
      <c r="K20" s="293"/>
      <c r="L20" s="293"/>
      <c r="M20" s="293"/>
    </row>
    <row r="21" spans="1:13" ht="5.95" customHeight="1">
      <c r="A21" s="293"/>
      <c r="B21" s="293"/>
      <c r="C21" s="293"/>
      <c r="D21" s="293"/>
      <c r="E21" s="293"/>
      <c r="F21" s="293"/>
      <c r="G21" s="293"/>
      <c r="H21" s="293"/>
      <c r="I21" s="293"/>
      <c r="J21" s="293"/>
      <c r="K21" s="293"/>
      <c r="L21" s="293"/>
      <c r="M21" s="293"/>
    </row>
    <row r="22" spans="1:13" ht="5.95" customHeight="1">
      <c r="A22" s="293"/>
      <c r="B22" s="293"/>
      <c r="C22" s="293"/>
      <c r="D22" s="293"/>
      <c r="E22" s="293"/>
      <c r="F22" s="293"/>
      <c r="G22" s="293"/>
      <c r="H22" s="293"/>
      <c r="I22" s="293"/>
      <c r="J22" s="293"/>
      <c r="K22" s="293"/>
      <c r="L22" s="293"/>
      <c r="M22" s="293"/>
    </row>
    <row r="23" spans="1:13" ht="17.55">
      <c r="A23" s="747"/>
      <c r="B23" s="747"/>
      <c r="C23" s="747"/>
      <c r="D23" s="747"/>
      <c r="E23" s="747"/>
      <c r="F23" s="747"/>
      <c r="G23" s="747"/>
      <c r="H23" s="747"/>
      <c r="I23" s="747"/>
      <c r="J23" s="747"/>
      <c r="K23" s="747"/>
      <c r="L23" s="747"/>
      <c r="M23" s="747"/>
    </row>
    <row r="24" spans="1:13" ht="17.55">
      <c r="A24" s="292"/>
      <c r="B24" s="292"/>
      <c r="C24" s="292"/>
      <c r="D24" s="292"/>
      <c r="E24" s="292"/>
      <c r="F24" s="292"/>
      <c r="G24" s="292"/>
      <c r="H24" s="292"/>
      <c r="I24" s="292"/>
      <c r="J24" s="292"/>
      <c r="K24" s="292"/>
      <c r="L24" s="292"/>
      <c r="M24" s="292"/>
    </row>
    <row r="25" spans="1:13" ht="25.05">
      <c r="A25" s="748"/>
      <c r="B25" s="748"/>
      <c r="C25" s="748"/>
      <c r="D25" s="748"/>
      <c r="E25" s="748"/>
      <c r="F25" s="748"/>
      <c r="G25" s="748"/>
      <c r="H25" s="748"/>
      <c r="I25" s="748"/>
      <c r="J25" s="748"/>
      <c r="K25" s="748"/>
      <c r="L25" s="748"/>
      <c r="M25" s="748"/>
    </row>
    <row r="26" spans="1:13" ht="17.55">
      <c r="A26" s="287"/>
      <c r="B26" s="288"/>
      <c r="C26" s="287"/>
      <c r="D26" s="287"/>
      <c r="E26" s="287"/>
      <c r="F26" s="287"/>
      <c r="G26" s="287"/>
      <c r="H26" s="287"/>
      <c r="I26" s="287"/>
      <c r="J26" s="287"/>
      <c r="K26" s="287"/>
      <c r="L26" s="287"/>
      <c r="M26" s="287"/>
    </row>
    <row r="27" spans="1:13" ht="13.15">
      <c r="A27" s="285"/>
      <c r="B27" s="289"/>
      <c r="C27" s="285"/>
      <c r="D27" s="285"/>
      <c r="E27" s="290"/>
      <c r="F27" s="290"/>
      <c r="G27" s="290"/>
      <c r="H27" s="290"/>
      <c r="I27" s="290"/>
      <c r="M27" s="285"/>
    </row>
    <row r="28" spans="1:13" ht="12.55">
      <c r="A28" s="291"/>
      <c r="B28" s="291"/>
      <c r="C28" s="291"/>
      <c r="D28" s="291"/>
      <c r="E28" s="291"/>
      <c r="F28" s="291"/>
      <c r="G28" s="291"/>
      <c r="H28" s="291"/>
      <c r="I28" s="291"/>
      <c r="J28" s="291"/>
    </row>
    <row r="29" spans="1:13" ht="27.7" customHeight="1" thickBot="1">
      <c r="A29" s="291"/>
      <c r="B29" s="744" t="s">
        <v>257</v>
      </c>
      <c r="C29" s="745"/>
      <c r="D29" s="745"/>
      <c r="E29" s="745"/>
      <c r="F29" s="745"/>
      <c r="G29" s="745"/>
      <c r="H29" s="745"/>
      <c r="I29" s="745"/>
      <c r="J29" s="745"/>
    </row>
    <row r="30" spans="1:13" ht="12.05" customHeight="1">
      <c r="A30" s="291"/>
      <c r="B30" s="291"/>
      <c r="C30" s="291"/>
      <c r="D30" s="291"/>
      <c r="E30" s="291"/>
      <c r="F30" s="291"/>
      <c r="G30" s="291"/>
      <c r="H30" s="291"/>
      <c r="I30" s="291"/>
      <c r="J30" s="291"/>
    </row>
    <row r="31" spans="1:13" ht="12.05" customHeight="1">
      <c r="A31" s="291"/>
      <c r="B31" s="291"/>
      <c r="C31" s="291"/>
      <c r="D31" s="291"/>
      <c r="E31" s="291"/>
      <c r="F31" s="291"/>
      <c r="G31" s="291"/>
      <c r="H31" s="291"/>
      <c r="I31" s="291"/>
      <c r="J31" s="291"/>
    </row>
    <row r="32" spans="1:13" ht="12.05" customHeight="1">
      <c r="A32" s="291"/>
      <c r="B32" s="294" t="s">
        <v>283</v>
      </c>
      <c r="C32" s="295"/>
      <c r="D32" s="295"/>
      <c r="E32" s="296"/>
      <c r="F32" s="296"/>
      <c r="G32" s="295"/>
      <c r="H32" s="295"/>
      <c r="I32" s="295"/>
      <c r="J32" s="297"/>
    </row>
    <row r="33" spans="1:10" ht="12.05" customHeight="1">
      <c r="A33" s="291"/>
      <c r="B33" s="298" t="s">
        <v>280</v>
      </c>
      <c r="C33" s="299"/>
      <c r="D33" s="299"/>
      <c r="E33" s="300"/>
      <c r="F33" s="295"/>
      <c r="G33" s="295"/>
      <c r="H33" s="295"/>
      <c r="I33" s="295"/>
      <c r="J33" s="301"/>
    </row>
    <row r="34" spans="1:10" ht="12.05" customHeight="1">
      <c r="A34" s="291"/>
      <c r="B34" s="295" t="s">
        <v>284</v>
      </c>
      <c r="C34" s="297"/>
      <c r="D34" s="297"/>
      <c r="E34" s="297"/>
      <c r="F34" s="297"/>
      <c r="G34" s="297"/>
      <c r="H34" s="297"/>
      <c r="I34" s="297"/>
      <c r="J34" s="297"/>
    </row>
    <row r="35" spans="1:10" ht="12.05" customHeight="1">
      <c r="A35" s="291"/>
      <c r="B35" s="302" t="s">
        <v>354</v>
      </c>
      <c r="C35" s="295"/>
      <c r="D35" s="295"/>
      <c r="E35" s="299"/>
      <c r="F35" s="299"/>
      <c r="G35" s="299"/>
      <c r="H35" s="299"/>
      <c r="I35" s="299"/>
      <c r="J35" s="303"/>
    </row>
    <row r="36" spans="1:10" ht="12.05" customHeight="1">
      <c r="A36" s="291"/>
      <c r="B36" s="742" t="s">
        <v>356</v>
      </c>
      <c r="C36" s="743"/>
      <c r="D36" s="743"/>
      <c r="E36" s="743"/>
      <c r="F36" s="743"/>
      <c r="G36" s="743"/>
      <c r="H36" s="743"/>
      <c r="I36" s="743"/>
      <c r="J36" s="743"/>
    </row>
    <row r="37" spans="1:10" ht="12.05" customHeight="1">
      <c r="A37" s="291"/>
      <c r="B37" s="741" t="s">
        <v>355</v>
      </c>
      <c r="C37" s="291"/>
      <c r="D37" s="291"/>
      <c r="E37" s="291"/>
      <c r="F37" s="291"/>
      <c r="G37" s="291"/>
      <c r="H37" s="291"/>
      <c r="I37" s="291"/>
      <c r="J37" s="291"/>
    </row>
    <row r="38" spans="1:10" ht="12.05" customHeight="1">
      <c r="A38" s="291"/>
      <c r="B38" s="291"/>
      <c r="C38" s="291"/>
      <c r="D38" s="291"/>
      <c r="E38" s="291"/>
      <c r="F38" s="291"/>
      <c r="G38" s="291"/>
      <c r="H38" s="291"/>
      <c r="I38" s="291"/>
      <c r="J38" s="291"/>
    </row>
    <row r="39" spans="1:10" ht="12.05" customHeight="1">
      <c r="A39" s="291"/>
      <c r="B39" s="291"/>
      <c r="C39" s="291"/>
      <c r="D39" s="291"/>
      <c r="E39" s="291"/>
      <c r="F39" s="291"/>
      <c r="G39" s="291"/>
      <c r="H39" s="291"/>
      <c r="I39" s="291"/>
      <c r="J39" s="291"/>
    </row>
    <row r="40" spans="1:10" ht="33.049999999999997" customHeight="1">
      <c r="A40" s="291"/>
    </row>
    <row r="41" spans="1:10" ht="12.05" customHeight="1">
      <c r="A41" s="291"/>
      <c r="B41" s="291"/>
      <c r="C41" s="291"/>
      <c r="D41" s="291"/>
      <c r="E41" s="291"/>
      <c r="F41" s="291"/>
      <c r="G41" s="291"/>
      <c r="H41" s="291"/>
      <c r="I41" s="291"/>
      <c r="J41" s="291"/>
    </row>
  </sheetData>
  <mergeCells count="5">
    <mergeCell ref="B36:J36"/>
    <mergeCell ref="B29:J29"/>
    <mergeCell ref="A14:M14"/>
    <mergeCell ref="A23:M23"/>
    <mergeCell ref="A25:M25"/>
  </mergeCells>
  <hyperlinks>
    <hyperlink ref="B29" location="PRESENTAZIONE!A1" display="                   Presentazione" xr:uid="{00000000-0004-0000-0000-000000000000}"/>
    <hyperlink ref="B29:J29" location="Menu!A1" display="   INIZIO" xr:uid="{00000000-0004-0000-0000-000001000000}"/>
  </hyperlinks>
  <printOptions horizontalCentered="1" vertic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9">
    <pageSetUpPr fitToPage="1"/>
  </sheetPr>
  <dimension ref="A1:L101"/>
  <sheetViews>
    <sheetView zoomScale="104" zoomScaleNormal="104" workbookViewId="0"/>
  </sheetViews>
  <sheetFormatPr defaultColWidth="9.109375" defaultRowHeight="13.15"/>
  <cols>
    <col min="1" max="1" width="97.109375" style="58" customWidth="1"/>
    <col min="2" max="2" width="18.44140625" style="152" bestFit="1" customWidth="1"/>
    <col min="3" max="3" width="16.88671875" style="152" customWidth="1"/>
    <col min="4" max="4" width="8.33203125" style="152" customWidth="1"/>
    <col min="5" max="5" width="93.6640625" style="152" customWidth="1"/>
    <col min="6" max="6" width="28.5546875" style="152" customWidth="1"/>
    <col min="7" max="7" width="23.44140625" style="152" customWidth="1"/>
    <col min="8" max="8" width="27.44140625" style="152" customWidth="1"/>
    <col min="9" max="9" width="27.44140625" style="151" customWidth="1"/>
    <col min="10" max="10" width="17.88671875" style="152" customWidth="1"/>
    <col min="11" max="11" width="115" style="58" customWidth="1"/>
    <col min="12" max="12" width="31.88671875" style="58" customWidth="1"/>
    <col min="13" max="13" width="18.33203125" style="58" customWidth="1"/>
    <col min="14" max="14" width="13.6640625" style="58" bestFit="1" customWidth="1"/>
    <col min="15" max="16384" width="9.109375" style="58"/>
  </cols>
  <sheetData>
    <row r="1" spans="1:10">
      <c r="A1" s="421" t="s">
        <v>301</v>
      </c>
      <c r="B1" s="422"/>
      <c r="C1" s="423"/>
      <c r="D1" s="424"/>
      <c r="E1" s="425" t="s">
        <v>302</v>
      </c>
      <c r="F1" s="426"/>
      <c r="G1" s="423"/>
      <c r="H1" s="424"/>
      <c r="I1" s="370"/>
      <c r="J1" s="427"/>
    </row>
    <row r="2" spans="1:10">
      <c r="A2" s="94"/>
      <c r="B2" s="412">
        <v>44926</v>
      </c>
      <c r="C2" s="428" t="s">
        <v>3</v>
      </c>
      <c r="D2" s="428"/>
      <c r="E2" s="97"/>
      <c r="F2" s="412">
        <v>44926</v>
      </c>
      <c r="G2" s="429" t="s">
        <v>3</v>
      </c>
      <c r="H2" s="428"/>
      <c r="I2" s="428"/>
      <c r="J2" s="430"/>
    </row>
    <row r="3" spans="1:10">
      <c r="A3" s="431" t="s">
        <v>76</v>
      </c>
      <c r="B3" s="455">
        <f>(B21+B23)*B25</f>
        <v>1163326.5959300001</v>
      </c>
      <c r="C3" s="98">
        <f>B3/B$18</f>
        <v>0.1646568970116844</v>
      </c>
      <c r="D3" s="432"/>
      <c r="E3" s="433" t="s">
        <v>76</v>
      </c>
      <c r="F3" s="465">
        <f>(F21+F23)*F25</f>
        <v>1623987.6374880001</v>
      </c>
      <c r="G3" s="98">
        <f>F3/F$18</f>
        <v>0.2305639260088872</v>
      </c>
      <c r="H3" s="432"/>
      <c r="I3" s="99"/>
      <c r="J3" s="100"/>
    </row>
    <row r="4" spans="1:10">
      <c r="A4" s="434" t="s">
        <v>63</v>
      </c>
      <c r="B4" s="456">
        <f>INPUT!B25</f>
        <v>120000</v>
      </c>
      <c r="C4" s="98">
        <f t="shared" ref="C4:C18" si="0">B4/B$18</f>
        <v>1.6984763960980618E-2</v>
      </c>
      <c r="D4" s="435"/>
      <c r="E4" s="436" t="s">
        <v>63</v>
      </c>
      <c r="F4" s="466">
        <f>INPUT!E25</f>
        <v>0</v>
      </c>
      <c r="G4" s="98">
        <f t="shared" ref="G4:G18" si="1">F4/F$18</f>
        <v>0</v>
      </c>
      <c r="H4" s="435"/>
      <c r="I4" s="104"/>
      <c r="J4" s="100"/>
    </row>
    <row r="5" spans="1:10">
      <c r="A5" s="434" t="s">
        <v>64</v>
      </c>
      <c r="B5" s="456">
        <f>INPUT!B26</f>
        <v>225000</v>
      </c>
      <c r="C5" s="98">
        <f t="shared" si="0"/>
        <v>3.1846432426838656E-2</v>
      </c>
      <c r="D5" s="435"/>
      <c r="E5" s="436" t="s">
        <v>64</v>
      </c>
      <c r="F5" s="466">
        <f>INPUT!E26</f>
        <v>0</v>
      </c>
      <c r="G5" s="98">
        <f t="shared" si="1"/>
        <v>0</v>
      </c>
      <c r="H5" s="435"/>
      <c r="I5" s="104"/>
      <c r="J5" s="100"/>
    </row>
    <row r="6" spans="1:10">
      <c r="A6" s="434" t="s">
        <v>65</v>
      </c>
      <c r="B6" s="456">
        <f>INPUT!B27</f>
        <v>120000</v>
      </c>
      <c r="C6" s="98">
        <f t="shared" si="0"/>
        <v>1.6984763960980618E-2</v>
      </c>
      <c r="D6" s="435"/>
      <c r="E6" s="436" t="s">
        <v>65</v>
      </c>
      <c r="F6" s="466">
        <f>INPUT!E27</f>
        <v>120000</v>
      </c>
      <c r="G6" s="98">
        <f t="shared" si="1"/>
        <v>1.7036872992372703E-2</v>
      </c>
      <c r="H6" s="435"/>
      <c r="I6" s="104"/>
      <c r="J6" s="100"/>
    </row>
    <row r="7" spans="1:10">
      <c r="A7" s="434" t="s">
        <v>66</v>
      </c>
      <c r="B7" s="456">
        <f>INPUT!B28</f>
        <v>0</v>
      </c>
      <c r="C7" s="98">
        <f t="shared" si="0"/>
        <v>0</v>
      </c>
      <c r="D7" s="435"/>
      <c r="E7" s="436" t="s">
        <v>66</v>
      </c>
      <c r="F7" s="466">
        <f>INPUT!E28</f>
        <v>0</v>
      </c>
      <c r="G7" s="98">
        <f t="shared" si="1"/>
        <v>0</v>
      </c>
      <c r="H7" s="435"/>
      <c r="I7" s="104"/>
      <c r="J7" s="100"/>
    </row>
    <row r="8" spans="1:10">
      <c r="A8" s="434" t="s">
        <v>68</v>
      </c>
      <c r="B8" s="456">
        <f>INPUT!B29</f>
        <v>0</v>
      </c>
      <c r="C8" s="98">
        <f t="shared" si="0"/>
        <v>0</v>
      </c>
      <c r="D8" s="435"/>
      <c r="E8" s="436" t="s">
        <v>68</v>
      </c>
      <c r="F8" s="466">
        <f>INPUT!E29</f>
        <v>0</v>
      </c>
      <c r="G8" s="98">
        <f t="shared" si="1"/>
        <v>0</v>
      </c>
      <c r="H8" s="435"/>
      <c r="I8" s="104"/>
      <c r="J8" s="100"/>
    </row>
    <row r="9" spans="1:10">
      <c r="A9" s="434" t="s">
        <v>67</v>
      </c>
      <c r="B9" s="456">
        <f>INPUT!B30</f>
        <v>0</v>
      </c>
      <c r="C9" s="98">
        <f t="shared" si="0"/>
        <v>0</v>
      </c>
      <c r="D9" s="435"/>
      <c r="E9" s="436" t="s">
        <v>67</v>
      </c>
      <c r="F9" s="466">
        <f>INPUT!E30</f>
        <v>0</v>
      </c>
      <c r="G9" s="98">
        <f t="shared" si="1"/>
        <v>0</v>
      </c>
      <c r="H9" s="435"/>
      <c r="I9" s="104"/>
      <c r="J9" s="100"/>
    </row>
    <row r="10" spans="1:10">
      <c r="A10" s="434" t="s">
        <v>75</v>
      </c>
      <c r="B10" s="456">
        <f>INPUT!B31</f>
        <v>0</v>
      </c>
      <c r="C10" s="98">
        <f t="shared" si="0"/>
        <v>0</v>
      </c>
      <c r="D10" s="435"/>
      <c r="E10" s="436" t="s">
        <v>75</v>
      </c>
      <c r="F10" s="466">
        <f>INPUT!E31</f>
        <v>0</v>
      </c>
      <c r="G10" s="98">
        <f t="shared" si="1"/>
        <v>0</v>
      </c>
      <c r="H10" s="435"/>
      <c r="I10" s="104"/>
      <c r="J10" s="100"/>
    </row>
    <row r="11" spans="1:10">
      <c r="A11" s="434" t="s">
        <v>153</v>
      </c>
      <c r="B11" s="456">
        <f>INPUT!B32</f>
        <v>696000</v>
      </c>
      <c r="C11" s="98">
        <f t="shared" si="0"/>
        <v>9.8511630973687578E-2</v>
      </c>
      <c r="D11" s="435"/>
      <c r="E11" s="436" t="s">
        <v>153</v>
      </c>
      <c r="F11" s="466">
        <f>INPUT!E32</f>
        <v>600000</v>
      </c>
      <c r="G11" s="98">
        <f t="shared" si="1"/>
        <v>8.5184364961863518E-2</v>
      </c>
      <c r="H11" s="435"/>
      <c r="I11" s="104"/>
      <c r="J11" s="100"/>
    </row>
    <row r="12" spans="1:10">
      <c r="A12" s="434" t="s">
        <v>155</v>
      </c>
      <c r="B12" s="456">
        <f>INPUT!B33</f>
        <v>700000</v>
      </c>
      <c r="C12" s="98">
        <f t="shared" si="0"/>
        <v>9.9077789772386946E-2</v>
      </c>
      <c r="D12" s="435"/>
      <c r="E12" s="436" t="s">
        <v>155</v>
      </c>
      <c r="F12" s="466">
        <f>INPUT!E33</f>
        <v>720000</v>
      </c>
      <c r="G12" s="98">
        <f t="shared" si="1"/>
        <v>0.10222123795423622</v>
      </c>
      <c r="H12" s="435"/>
      <c r="I12" s="104"/>
      <c r="J12" s="100"/>
    </row>
    <row r="13" spans="1:10">
      <c r="A13" s="434" t="s">
        <v>156</v>
      </c>
      <c r="B13" s="456">
        <f>INPUT!B34</f>
        <v>720000</v>
      </c>
      <c r="C13" s="98">
        <f t="shared" si="0"/>
        <v>0.10190858376588371</v>
      </c>
      <c r="D13" s="432"/>
      <c r="E13" s="436" t="s">
        <v>156</v>
      </c>
      <c r="F13" s="466">
        <f>INPUT!E34</f>
        <v>720000</v>
      </c>
      <c r="G13" s="98">
        <f t="shared" si="1"/>
        <v>0.10222123795423622</v>
      </c>
      <c r="H13" s="432"/>
      <c r="I13" s="104"/>
      <c r="J13" s="100"/>
    </row>
    <row r="14" spans="1:10">
      <c r="A14" s="434" t="s">
        <v>157</v>
      </c>
      <c r="B14" s="456">
        <f>INPUT!B35</f>
        <v>1096600</v>
      </c>
      <c r="C14" s="98">
        <f t="shared" si="0"/>
        <v>0.15521243466342788</v>
      </c>
      <c r="D14" s="432"/>
      <c r="E14" s="436" t="s">
        <v>157</v>
      </c>
      <c r="F14" s="466">
        <f>INPUT!E35</f>
        <v>749190</v>
      </c>
      <c r="G14" s="98">
        <f t="shared" si="1"/>
        <v>0.10636545730963089</v>
      </c>
      <c r="H14" s="432"/>
      <c r="I14" s="104"/>
      <c r="J14" s="100"/>
    </row>
    <row r="15" spans="1:10">
      <c r="A15" s="434" t="s">
        <v>210</v>
      </c>
      <c r="B15" s="456">
        <f>INPUT!B36</f>
        <v>415000</v>
      </c>
      <c r="C15" s="98">
        <f t="shared" si="0"/>
        <v>5.8738975365057969E-2</v>
      </c>
      <c r="D15" s="432"/>
      <c r="E15" s="436" t="s">
        <v>210</v>
      </c>
      <c r="F15" s="465">
        <f>INPUT!E36</f>
        <v>447000.54</v>
      </c>
      <c r="G15" s="98">
        <f t="shared" si="1"/>
        <v>6.3462428562516784E-2</v>
      </c>
      <c r="H15" s="432"/>
      <c r="I15" s="104"/>
      <c r="J15" s="100"/>
    </row>
    <row r="16" spans="1:10" ht="18" customHeight="1">
      <c r="A16" s="437" t="s">
        <v>77</v>
      </c>
      <c r="B16" s="455">
        <f>(B27*B29)+(B28*B30)+(B32*B34)+(B33*B35)+(B37*B39)+(B38*B40)+(B42*B44)+(B43*B45)+(B47*B49)+(B48*B50)</f>
        <v>1809228.9914940002</v>
      </c>
      <c r="C16" s="98">
        <f t="shared" si="0"/>
        <v>0.2560777280990717</v>
      </c>
      <c r="D16" s="432"/>
      <c r="E16" s="438" t="s">
        <v>77</v>
      </c>
      <c r="F16" s="465">
        <f>(F27*F29+F28*F30)+(F32*F34+F33*F35)+(F37*F39+F38*F40)+(F42*F44+F43*F45)+(F47*F49+F48*F50)</f>
        <v>2063367.9036340001</v>
      </c>
      <c r="G16" s="98">
        <f t="shared" si="1"/>
        <v>0.29294447425625653</v>
      </c>
      <c r="H16" s="432"/>
      <c r="I16" s="99"/>
      <c r="J16" s="100"/>
    </row>
    <row r="17" spans="1:10" ht="17.25" customHeight="1">
      <c r="A17" s="437" t="s">
        <v>74</v>
      </c>
      <c r="B17" s="455">
        <f>'Personale Diretto'!B25*12</f>
        <v>159900</v>
      </c>
      <c r="C17" s="98">
        <f t="shared" si="0"/>
        <v>2.2632197978006672E-2</v>
      </c>
      <c r="D17" s="432"/>
      <c r="E17" s="438" t="s">
        <v>74</v>
      </c>
      <c r="F17" s="465">
        <f>'Personale Diretto'!B12*12</f>
        <v>159900</v>
      </c>
      <c r="G17" s="98">
        <f t="shared" si="1"/>
        <v>2.270163326233663E-2</v>
      </c>
      <c r="H17" s="432"/>
      <c r="I17" s="99"/>
      <c r="J17" s="100"/>
    </row>
    <row r="18" spans="1:10" ht="17.25" customHeight="1">
      <c r="A18" s="106" t="s">
        <v>154</v>
      </c>
      <c r="B18" s="457">
        <f>B3+B4+B5+B6-B7-B8-B9-B10+B11+B12+B13+B14+B15+B16</f>
        <v>7065155.5874239998</v>
      </c>
      <c r="C18" s="107">
        <f t="shared" si="0"/>
        <v>1</v>
      </c>
      <c r="D18" s="99"/>
      <c r="E18" s="108" t="s">
        <v>138</v>
      </c>
      <c r="F18" s="467">
        <f>F3+F4+F5+F6-F7-F8-F9-F10+F11+F12+F13+F14+F15+F16</f>
        <v>7043546.0811219998</v>
      </c>
      <c r="G18" s="98">
        <f t="shared" si="1"/>
        <v>1</v>
      </c>
      <c r="H18" s="99"/>
      <c r="I18" s="99"/>
      <c r="J18" s="100"/>
    </row>
    <row r="19" spans="1:10" ht="17.25" customHeight="1">
      <c r="A19" s="106" t="s">
        <v>139</v>
      </c>
      <c r="B19" s="457">
        <f>B3+B4+B5+B6-B7-B8-B9-B10+B11+B12+B16+B13+B14+B15+B17</f>
        <v>7225055.5874239998</v>
      </c>
      <c r="C19" s="93"/>
      <c r="D19" s="99"/>
      <c r="E19" s="108" t="s">
        <v>139</v>
      </c>
      <c r="F19" s="467">
        <f>F3+F4+F5+F6-F7-F8-F9-F10+F11+F12+F13+F14+F15+F16+F17</f>
        <v>7203446.0811219998</v>
      </c>
      <c r="G19" s="93"/>
      <c r="H19" s="99"/>
      <c r="I19" s="99"/>
      <c r="J19" s="100"/>
    </row>
    <row r="20" spans="1:10">
      <c r="A20" s="109" t="s">
        <v>62</v>
      </c>
      <c r="B20" s="311"/>
      <c r="C20" s="311"/>
      <c r="D20" s="111"/>
      <c r="E20" s="112" t="s">
        <v>62</v>
      </c>
      <c r="F20" s="321"/>
      <c r="G20" s="113"/>
      <c r="H20" s="58"/>
      <c r="I20" s="28"/>
      <c r="J20" s="58"/>
    </row>
    <row r="21" spans="1:10">
      <c r="A21" s="114" t="s">
        <v>147</v>
      </c>
      <c r="B21" s="312">
        <f>B22/1000</f>
        <v>6170000</v>
      </c>
      <c r="C21" s="312"/>
      <c r="D21" s="134"/>
      <c r="E21" s="116" t="s">
        <v>147</v>
      </c>
      <c r="F21" s="322">
        <f>F22/1000</f>
        <v>7531959.2000000002</v>
      </c>
      <c r="G21" s="136"/>
      <c r="H21" s="134"/>
      <c r="I21" s="117"/>
      <c r="J21" s="100"/>
    </row>
    <row r="22" spans="1:10">
      <c r="A22" s="114" t="s">
        <v>149</v>
      </c>
      <c r="B22" s="313">
        <f>('Struttura Ricavi'!B19+'Struttura Ricavi'!B28)*400</f>
        <v>6170000000</v>
      </c>
      <c r="C22" s="313"/>
      <c r="D22" s="155"/>
      <c r="E22" s="116" t="s">
        <v>149</v>
      </c>
      <c r="F22" s="323">
        <f>('Struttura Ricavi'!B5+'Struttura Ricavi'!B14)*400</f>
        <v>7531959200</v>
      </c>
      <c r="G22" s="439"/>
      <c r="H22" s="155"/>
      <c r="I22" s="118"/>
      <c r="J22" s="100"/>
    </row>
    <row r="23" spans="1:10">
      <c r="A23" s="114" t="s">
        <v>150</v>
      </c>
      <c r="B23" s="313">
        <f>B24/1000</f>
        <v>16353264.199999999</v>
      </c>
      <c r="C23" s="313"/>
      <c r="D23" s="155"/>
      <c r="E23" s="116" t="s">
        <v>150</v>
      </c>
      <c r="F23" s="323">
        <f>F24/1000</f>
        <v>16656120</v>
      </c>
      <c r="G23" s="439"/>
      <c r="H23" s="155"/>
      <c r="I23" s="118"/>
      <c r="J23" s="100"/>
    </row>
    <row r="24" spans="1:10">
      <c r="A24" s="114" t="s">
        <v>148</v>
      </c>
      <c r="B24" s="313">
        <f>('Struttura Ricavi'!B24+'Struttura Ricavi'!B29)*2600</f>
        <v>16353264200</v>
      </c>
      <c r="C24" s="313"/>
      <c r="D24" s="155"/>
      <c r="E24" s="116" t="s">
        <v>148</v>
      </c>
      <c r="F24" s="323">
        <f>('Struttura Ricavi'!B10+'Struttura Ricavi'!B15)*2600</f>
        <v>16656120000</v>
      </c>
      <c r="G24" s="439"/>
      <c r="H24" s="155"/>
      <c r="I24" s="118"/>
      <c r="J24" s="100"/>
    </row>
    <row r="25" spans="1:10">
      <c r="A25" s="114" t="s">
        <v>144</v>
      </c>
      <c r="B25" s="458">
        <f>INPUT!B38</f>
        <v>5.1650000000000001E-2</v>
      </c>
      <c r="C25" s="314"/>
      <c r="D25" s="440"/>
      <c r="E25" s="116" t="s">
        <v>144</v>
      </c>
      <c r="F25" s="468">
        <f>INPUT!E38</f>
        <v>6.7140000000000005E-2</v>
      </c>
      <c r="G25" s="441"/>
      <c r="H25" s="440"/>
      <c r="I25" s="119"/>
      <c r="J25" s="100"/>
    </row>
    <row r="26" spans="1:10">
      <c r="A26" s="120" t="s">
        <v>78</v>
      </c>
      <c r="B26" s="315"/>
      <c r="C26" s="315"/>
      <c r="D26" s="121"/>
      <c r="E26" s="122" t="s">
        <v>78</v>
      </c>
      <c r="F26" s="324"/>
      <c r="G26" s="123"/>
      <c r="H26" s="121"/>
      <c r="I26" s="121"/>
      <c r="J26" s="124"/>
    </row>
    <row r="27" spans="1:10">
      <c r="A27" s="120" t="s">
        <v>151</v>
      </c>
      <c r="B27" s="459">
        <f>INPUT!B40</f>
        <v>5.9900000000000002E-2</v>
      </c>
      <c r="C27" s="316"/>
      <c r="D27" s="126"/>
      <c r="E27" s="122" t="s">
        <v>151</v>
      </c>
      <c r="F27" s="469">
        <f>INPUT!E40</f>
        <v>5.9900000000000002E-2</v>
      </c>
      <c r="G27" s="127"/>
      <c r="H27" s="126"/>
      <c r="I27" s="128"/>
      <c r="J27" s="100"/>
    </row>
    <row r="28" spans="1:10">
      <c r="A28" s="120" t="s">
        <v>152</v>
      </c>
      <c r="B28" s="459">
        <f>INPUT!B41</f>
        <v>7.2622999999999993E-2</v>
      </c>
      <c r="C28" s="317"/>
      <c r="D28" s="130"/>
      <c r="E28" s="122" t="s">
        <v>152</v>
      </c>
      <c r="F28" s="469">
        <f>INPUT!E41</f>
        <v>7.2622999999999993E-2</v>
      </c>
      <c r="G28" s="131"/>
      <c r="H28" s="130"/>
      <c r="I28" s="132"/>
      <c r="J28" s="100"/>
    </row>
    <row r="29" spans="1:10">
      <c r="A29" s="133" t="s">
        <v>141</v>
      </c>
      <c r="B29" s="312">
        <f>B22/400</f>
        <v>15425000</v>
      </c>
      <c r="C29" s="312"/>
      <c r="D29" s="134"/>
      <c r="E29" s="135" t="s">
        <v>141</v>
      </c>
      <c r="F29" s="322">
        <f>F22/400</f>
        <v>18829898</v>
      </c>
      <c r="G29" s="136"/>
      <c r="H29" s="134"/>
      <c r="I29" s="117"/>
      <c r="J29" s="58"/>
    </row>
    <row r="30" spans="1:10">
      <c r="A30" s="133" t="s">
        <v>142</v>
      </c>
      <c r="B30" s="312">
        <f>B24/2600</f>
        <v>6289717</v>
      </c>
      <c r="C30" s="312"/>
      <c r="D30" s="134"/>
      <c r="E30" s="135" t="s">
        <v>142</v>
      </c>
      <c r="F30" s="322">
        <f>F24/2600</f>
        <v>6406200</v>
      </c>
      <c r="G30" s="136"/>
      <c r="H30" s="134"/>
      <c r="I30" s="117"/>
      <c r="J30" s="58"/>
    </row>
    <row r="31" spans="1:10">
      <c r="A31" s="133" t="s">
        <v>79</v>
      </c>
      <c r="B31" s="318"/>
      <c r="C31" s="318"/>
      <c r="D31" s="124"/>
      <c r="E31" s="135" t="s">
        <v>79</v>
      </c>
      <c r="F31" s="325"/>
      <c r="G31" s="137"/>
      <c r="H31" s="124"/>
      <c r="I31" s="121"/>
      <c r="J31" s="124"/>
    </row>
    <row r="32" spans="1:10">
      <c r="A32" s="120" t="s">
        <v>145</v>
      </c>
      <c r="B32" s="460">
        <f>INPUT!B43</f>
        <v>7.7539999999999996E-3</v>
      </c>
      <c r="C32" s="319"/>
      <c r="D32" s="138"/>
      <c r="E32" s="122" t="s">
        <v>145</v>
      </c>
      <c r="F32" s="469">
        <f>INPUT!E43</f>
        <v>7.7539999999999996E-3</v>
      </c>
      <c r="G32" s="139"/>
      <c r="H32" s="138"/>
      <c r="I32" s="140"/>
      <c r="J32" s="100"/>
    </row>
    <row r="33" spans="1:10">
      <c r="A33" s="120" t="s">
        <v>146</v>
      </c>
      <c r="B33" s="460">
        <f>INPUT!B44</f>
        <v>1.5814000000000002E-2</v>
      </c>
      <c r="C33" s="319"/>
      <c r="D33" s="138"/>
      <c r="E33" s="122" t="s">
        <v>146</v>
      </c>
      <c r="F33" s="469">
        <f>INPUT!E44</f>
        <v>1.5814000000000002E-2</v>
      </c>
      <c r="G33" s="139"/>
      <c r="H33" s="138"/>
      <c r="I33" s="140"/>
      <c r="J33" s="100"/>
    </row>
    <row r="34" spans="1:10">
      <c r="A34" s="133" t="s">
        <v>141</v>
      </c>
      <c r="B34" s="312">
        <f>'Struttura Ricavi'!B19+'Struttura Ricavi'!B28</f>
        <v>15425000</v>
      </c>
      <c r="C34" s="312"/>
      <c r="D34" s="134"/>
      <c r="E34" s="135" t="s">
        <v>141</v>
      </c>
      <c r="F34" s="322">
        <f>('Struttura Ricavi'!B5+'Struttura Ricavi'!B14)</f>
        <v>18829898</v>
      </c>
      <c r="G34" s="136"/>
      <c r="H34" s="134"/>
      <c r="I34" s="117"/>
      <c r="J34" s="100"/>
    </row>
    <row r="35" spans="1:10">
      <c r="A35" s="133" t="s">
        <v>142</v>
      </c>
      <c r="B35" s="312">
        <f>'Struttura Ricavi'!B24+'Struttura Ricavi'!B29</f>
        <v>6289717</v>
      </c>
      <c r="C35" s="312"/>
      <c r="D35" s="134"/>
      <c r="E35" s="135" t="s">
        <v>142</v>
      </c>
      <c r="F35" s="322">
        <f>'Struttura Ricavi'!B10+'Struttura Ricavi'!B15</f>
        <v>6406200</v>
      </c>
      <c r="G35" s="136"/>
      <c r="H35" s="134"/>
      <c r="I35" s="117"/>
      <c r="J35" s="100"/>
    </row>
    <row r="36" spans="1:10">
      <c r="A36" s="133" t="s">
        <v>143</v>
      </c>
      <c r="B36" s="442"/>
      <c r="C36" s="442"/>
      <c r="D36" s="100"/>
      <c r="E36" s="135" t="s">
        <v>143</v>
      </c>
      <c r="F36" s="443"/>
      <c r="G36" s="444"/>
      <c r="H36" s="100"/>
      <c r="I36" s="141"/>
      <c r="J36" s="100"/>
    </row>
    <row r="37" spans="1:10">
      <c r="A37" s="120" t="s">
        <v>145</v>
      </c>
      <c r="B37" s="460">
        <f>INPUT!B46</f>
        <v>1.1670000000000001E-3</v>
      </c>
      <c r="C37" s="317"/>
      <c r="D37" s="130"/>
      <c r="E37" s="122" t="s">
        <v>145</v>
      </c>
      <c r="F37" s="469">
        <f>INPUT!E46</f>
        <v>1.1670000000000001E-3</v>
      </c>
      <c r="G37" s="131"/>
      <c r="H37" s="130"/>
      <c r="I37" s="132"/>
      <c r="J37" s="100"/>
    </row>
    <row r="38" spans="1:10">
      <c r="A38" s="120" t="s">
        <v>146</v>
      </c>
      <c r="B38" s="460">
        <f>INPUT!B47</f>
        <v>2.4525000000000002E-2</v>
      </c>
      <c r="C38" s="317"/>
      <c r="D38" s="130"/>
      <c r="E38" s="122" t="s">
        <v>146</v>
      </c>
      <c r="F38" s="469">
        <f>INPUT!E47</f>
        <v>2.4525000000000002E-2</v>
      </c>
      <c r="G38" s="131"/>
      <c r="H38" s="130"/>
      <c r="I38" s="132"/>
      <c r="J38" s="100"/>
    </row>
    <row r="39" spans="1:10">
      <c r="A39" s="133" t="s">
        <v>141</v>
      </c>
      <c r="B39" s="312">
        <f>B22/400</f>
        <v>15425000</v>
      </c>
      <c r="C39" s="312"/>
      <c r="D39" s="134"/>
      <c r="E39" s="135" t="s">
        <v>141</v>
      </c>
      <c r="F39" s="322">
        <f>F22/400</f>
        <v>18829898</v>
      </c>
      <c r="G39" s="136"/>
      <c r="H39" s="134"/>
      <c r="I39" s="117"/>
      <c r="J39" s="100"/>
    </row>
    <row r="40" spans="1:10">
      <c r="A40" s="133" t="s">
        <v>142</v>
      </c>
      <c r="B40" s="312">
        <f>B24/2600</f>
        <v>6289717</v>
      </c>
      <c r="C40" s="312"/>
      <c r="D40" s="134"/>
      <c r="E40" s="135" t="s">
        <v>142</v>
      </c>
      <c r="F40" s="322">
        <f>F24/2600</f>
        <v>6406200</v>
      </c>
      <c r="G40" s="136"/>
      <c r="H40" s="134"/>
      <c r="I40" s="117"/>
      <c r="J40" s="100"/>
    </row>
    <row r="41" spans="1:10">
      <c r="A41" s="133" t="s">
        <v>80</v>
      </c>
      <c r="B41" s="445"/>
      <c r="C41" s="445"/>
      <c r="D41" s="143"/>
      <c r="E41" s="135" t="s">
        <v>80</v>
      </c>
      <c r="F41" s="446"/>
      <c r="G41" s="447"/>
      <c r="H41" s="143"/>
      <c r="I41" s="142"/>
      <c r="J41" s="143"/>
    </row>
    <row r="42" spans="1:10">
      <c r="A42" s="120" t="s">
        <v>145</v>
      </c>
      <c r="B42" s="460">
        <f>INPUT!B49</f>
        <v>1.712E-3</v>
      </c>
      <c r="C42" s="317"/>
      <c r="D42" s="130"/>
      <c r="E42" s="122" t="s">
        <v>145</v>
      </c>
      <c r="F42" s="469">
        <f>INPUT!E49</f>
        <v>1.712E-3</v>
      </c>
      <c r="G42" s="131"/>
      <c r="H42" s="130"/>
      <c r="I42" s="132"/>
      <c r="J42" s="100"/>
    </row>
    <row r="43" spans="1:10">
      <c r="A43" s="120" t="s">
        <v>146</v>
      </c>
      <c r="B43" s="460">
        <f>INPUT!B50</f>
        <v>0</v>
      </c>
      <c r="C43" s="320"/>
      <c r="D43" s="145"/>
      <c r="E43" s="122" t="s">
        <v>146</v>
      </c>
      <c r="F43" s="469">
        <f>INPUT!E50</f>
        <v>0</v>
      </c>
      <c r="G43" s="146"/>
      <c r="H43" s="145"/>
      <c r="I43" s="147"/>
      <c r="J43" s="100"/>
    </row>
    <row r="44" spans="1:10">
      <c r="A44" s="133" t="s">
        <v>141</v>
      </c>
      <c r="B44" s="312">
        <f>B22/400</f>
        <v>15425000</v>
      </c>
      <c r="C44" s="312"/>
      <c r="D44" s="134"/>
      <c r="E44" s="135" t="s">
        <v>141</v>
      </c>
      <c r="F44" s="322">
        <f>F22/400</f>
        <v>18829898</v>
      </c>
      <c r="G44" s="136"/>
      <c r="H44" s="134"/>
      <c r="I44" s="117"/>
      <c r="J44" s="100"/>
    </row>
    <row r="45" spans="1:10">
      <c r="A45" s="133" t="s">
        <v>142</v>
      </c>
      <c r="B45" s="312">
        <f>B24/2600</f>
        <v>6289717</v>
      </c>
      <c r="C45" s="312"/>
      <c r="D45" s="134"/>
      <c r="E45" s="135" t="s">
        <v>142</v>
      </c>
      <c r="F45" s="322">
        <f>F24/2600</f>
        <v>6406200</v>
      </c>
      <c r="G45" s="136"/>
      <c r="H45" s="134"/>
      <c r="I45" s="117"/>
      <c r="J45" s="100"/>
    </row>
    <row r="46" spans="1:10">
      <c r="A46" s="133" t="s">
        <v>81</v>
      </c>
      <c r="B46" s="445"/>
      <c r="C46" s="445"/>
      <c r="D46" s="143"/>
      <c r="E46" s="135" t="s">
        <v>81</v>
      </c>
      <c r="F46" s="446"/>
      <c r="G46" s="447"/>
      <c r="H46" s="143"/>
      <c r="I46" s="142"/>
      <c r="J46" s="143"/>
    </row>
    <row r="47" spans="1:10">
      <c r="A47" s="120" t="s">
        <v>145</v>
      </c>
      <c r="B47" s="460">
        <f>INPUT!B52</f>
        <v>2.0000000000000001E-4</v>
      </c>
      <c r="C47" s="316"/>
      <c r="D47" s="126"/>
      <c r="E47" s="122" t="s">
        <v>145</v>
      </c>
      <c r="F47" s="469">
        <f>INPUT!E52</f>
        <v>2.0000000000000001E-4</v>
      </c>
      <c r="G47" s="127"/>
      <c r="H47" s="126"/>
      <c r="I47" s="128"/>
      <c r="J47" s="100"/>
    </row>
    <row r="48" spans="1:10">
      <c r="A48" s="120" t="s">
        <v>146</v>
      </c>
      <c r="B48" s="460">
        <f>INPUT!B53</f>
        <v>1.2199999999999999E-3</v>
      </c>
      <c r="C48" s="320"/>
      <c r="D48" s="145"/>
      <c r="E48" s="122" t="s">
        <v>146</v>
      </c>
      <c r="F48" s="469">
        <f>INPUT!E53</f>
        <v>1.2199999999999999E-3</v>
      </c>
      <c r="G48" s="146"/>
      <c r="H48" s="145"/>
      <c r="I48" s="147"/>
      <c r="J48" s="100"/>
    </row>
    <row r="49" spans="1:12">
      <c r="A49" s="133" t="s">
        <v>141</v>
      </c>
      <c r="B49" s="312">
        <f>B22/400</f>
        <v>15425000</v>
      </c>
      <c r="C49" s="312"/>
      <c r="D49" s="134"/>
      <c r="E49" s="135" t="s">
        <v>141</v>
      </c>
      <c r="F49" s="322">
        <f>F22/400</f>
        <v>18829898</v>
      </c>
      <c r="G49" s="136"/>
      <c r="H49" s="134"/>
      <c r="I49" s="117"/>
      <c r="J49" s="100"/>
    </row>
    <row r="50" spans="1:12">
      <c r="A50" s="148" t="s">
        <v>142</v>
      </c>
      <c r="B50" s="312">
        <f>B24/2600</f>
        <v>6289717</v>
      </c>
      <c r="C50" s="312"/>
      <c r="D50" s="134"/>
      <c r="E50" s="135" t="s">
        <v>142</v>
      </c>
      <c r="F50" s="322">
        <f>F24/2600</f>
        <v>6406200</v>
      </c>
      <c r="G50" s="136"/>
      <c r="H50" s="134"/>
      <c r="I50" s="117"/>
      <c r="J50" s="100"/>
    </row>
    <row r="51" spans="1:12">
      <c r="K51" s="769"/>
      <c r="L51" s="769"/>
    </row>
    <row r="52" spans="1:12">
      <c r="A52" s="421" t="s">
        <v>202</v>
      </c>
      <c r="B52" s="422"/>
      <c r="C52" s="423"/>
      <c r="D52" s="424"/>
      <c r="E52" s="770" t="s">
        <v>203</v>
      </c>
      <c r="F52" s="770"/>
      <c r="G52" s="771"/>
      <c r="H52" s="424"/>
      <c r="I52" s="448"/>
      <c r="J52" s="427"/>
    </row>
    <row r="53" spans="1:12">
      <c r="A53" s="94"/>
      <c r="B53" s="461" t="s">
        <v>292</v>
      </c>
      <c r="C53" s="449" t="s">
        <v>3</v>
      </c>
      <c r="D53" s="428"/>
      <c r="E53" s="97"/>
      <c r="F53" s="450" t="s">
        <v>292</v>
      </c>
      <c r="G53" s="450" t="s">
        <v>3</v>
      </c>
      <c r="H53" s="428"/>
      <c r="I53" s="428"/>
      <c r="J53" s="430"/>
    </row>
    <row r="54" spans="1:12">
      <c r="A54" s="431" t="s">
        <v>76</v>
      </c>
      <c r="B54" s="462">
        <f>(B72+B74)*B76</f>
        <v>412848.78</v>
      </c>
      <c r="C54" s="154">
        <f>B54/B$69</f>
        <v>0.17728175447787023</v>
      </c>
      <c r="D54" s="432"/>
      <c r="E54" s="433" t="s">
        <v>76</v>
      </c>
      <c r="F54" s="471">
        <f>(F72+F74)*F76</f>
        <v>768507.10646400007</v>
      </c>
      <c r="G54" s="472">
        <f>F54/F$69</f>
        <v>0.33276569744902168</v>
      </c>
      <c r="H54" s="432"/>
      <c r="I54" s="141"/>
      <c r="J54" s="155"/>
    </row>
    <row r="55" spans="1:12">
      <c r="A55" s="434" t="s">
        <v>63</v>
      </c>
      <c r="B55" s="463">
        <f>INPUT!B57</f>
        <v>32000</v>
      </c>
      <c r="C55" s="154">
        <f t="shared" ref="C55:C69" si="2">B55/B$69</f>
        <v>1.3741147892678395E-2</v>
      </c>
      <c r="D55" s="435"/>
      <c r="E55" s="436" t="s">
        <v>63</v>
      </c>
      <c r="F55" s="471">
        <f>INPUT!E57</f>
        <v>16000</v>
      </c>
      <c r="G55" s="472">
        <f t="shared" ref="G55:G69" si="3">F55/F$69</f>
        <v>6.9280441448120239E-3</v>
      </c>
      <c r="H55" s="435"/>
      <c r="I55" s="141"/>
      <c r="J55" s="155"/>
    </row>
    <row r="56" spans="1:12">
      <c r="A56" s="434" t="s">
        <v>64</v>
      </c>
      <c r="B56" s="463">
        <f>INPUT!B58</f>
        <v>21390</v>
      </c>
      <c r="C56" s="154">
        <f t="shared" si="2"/>
        <v>9.1850985445122157E-3</v>
      </c>
      <c r="D56" s="435"/>
      <c r="E56" s="436" t="s">
        <v>64</v>
      </c>
      <c r="F56" s="471">
        <f>INPUT!E58</f>
        <v>10500</v>
      </c>
      <c r="G56" s="472">
        <f t="shared" si="3"/>
        <v>4.546528970032891E-3</v>
      </c>
      <c r="H56" s="435"/>
      <c r="I56" s="141"/>
      <c r="J56" s="155"/>
    </row>
    <row r="57" spans="1:12">
      <c r="A57" s="434" t="s">
        <v>65</v>
      </c>
      <c r="B57" s="463">
        <f>INPUT!B59</f>
        <v>0</v>
      </c>
      <c r="C57" s="154">
        <f t="shared" si="2"/>
        <v>0</v>
      </c>
      <c r="D57" s="435"/>
      <c r="E57" s="436" t="s">
        <v>65</v>
      </c>
      <c r="F57" s="471">
        <f>INPUT!E59</f>
        <v>0</v>
      </c>
      <c r="G57" s="472">
        <f t="shared" si="3"/>
        <v>0</v>
      </c>
      <c r="H57" s="435"/>
      <c r="I57" s="141"/>
      <c r="J57" s="155"/>
    </row>
    <row r="58" spans="1:12">
      <c r="A58" s="434" t="s">
        <v>66</v>
      </c>
      <c r="B58" s="463">
        <f>INPUT!B60</f>
        <v>0</v>
      </c>
      <c r="C58" s="154">
        <f t="shared" si="2"/>
        <v>0</v>
      </c>
      <c r="D58" s="435"/>
      <c r="E58" s="436" t="s">
        <v>66</v>
      </c>
      <c r="F58" s="471">
        <f>INPUT!E60</f>
        <v>0</v>
      </c>
      <c r="G58" s="472">
        <f t="shared" si="3"/>
        <v>0</v>
      </c>
      <c r="H58" s="435"/>
      <c r="I58" s="141"/>
      <c r="J58" s="155"/>
    </row>
    <row r="59" spans="1:12">
      <c r="A59" s="326" t="s">
        <v>68</v>
      </c>
      <c r="B59" s="463">
        <f>INPUT!B61</f>
        <v>0</v>
      </c>
      <c r="C59" s="154">
        <f t="shared" si="2"/>
        <v>0</v>
      </c>
      <c r="D59" s="435"/>
      <c r="E59" s="436" t="s">
        <v>68</v>
      </c>
      <c r="F59" s="471">
        <f>INPUT!E61</f>
        <v>0</v>
      </c>
      <c r="G59" s="472">
        <f t="shared" si="3"/>
        <v>0</v>
      </c>
      <c r="H59" s="435"/>
      <c r="I59" s="141"/>
      <c r="J59" s="155"/>
    </row>
    <row r="60" spans="1:12">
      <c r="A60" s="434" t="s">
        <v>67</v>
      </c>
      <c r="B60" s="463">
        <f>INPUT!B62</f>
        <v>0</v>
      </c>
      <c r="C60" s="154">
        <f t="shared" si="2"/>
        <v>0</v>
      </c>
      <c r="D60" s="435"/>
      <c r="E60" s="436" t="s">
        <v>67</v>
      </c>
      <c r="F60" s="471">
        <f>INPUT!E62</f>
        <v>0</v>
      </c>
      <c r="G60" s="472">
        <f t="shared" si="3"/>
        <v>0</v>
      </c>
      <c r="H60" s="435"/>
      <c r="I60" s="141"/>
      <c r="J60" s="155"/>
    </row>
    <row r="61" spans="1:12">
      <c r="A61" s="434" t="s">
        <v>75</v>
      </c>
      <c r="B61" s="463">
        <f>INPUT!B63</f>
        <v>0</v>
      </c>
      <c r="C61" s="154">
        <f t="shared" si="2"/>
        <v>0</v>
      </c>
      <c r="D61" s="435"/>
      <c r="E61" s="436" t="s">
        <v>75</v>
      </c>
      <c r="F61" s="471">
        <f>INPUT!E63</f>
        <v>0</v>
      </c>
      <c r="G61" s="472">
        <f t="shared" si="3"/>
        <v>0</v>
      </c>
      <c r="H61" s="435"/>
      <c r="I61" s="141"/>
      <c r="J61" s="155"/>
    </row>
    <row r="62" spans="1:12">
      <c r="A62" s="434" t="s">
        <v>153</v>
      </c>
      <c r="B62" s="463">
        <f>INPUT!B64</f>
        <v>129600</v>
      </c>
      <c r="C62" s="154">
        <f t="shared" si="2"/>
        <v>5.5651648965347501E-2</v>
      </c>
      <c r="D62" s="435"/>
      <c r="E62" s="436" t="s">
        <v>153</v>
      </c>
      <c r="F62" s="471">
        <f>INPUT!E64</f>
        <v>133600</v>
      </c>
      <c r="G62" s="472">
        <f t="shared" si="3"/>
        <v>5.78491686091804E-2</v>
      </c>
      <c r="H62" s="435"/>
      <c r="I62" s="141"/>
      <c r="J62" s="155"/>
    </row>
    <row r="63" spans="1:12">
      <c r="A63" s="434" t="s">
        <v>155</v>
      </c>
      <c r="B63" s="463">
        <f>INPUT!B65</f>
        <v>88000</v>
      </c>
      <c r="C63" s="154">
        <f t="shared" si="2"/>
        <v>3.7788156704865586E-2</v>
      </c>
      <c r="D63" s="435"/>
      <c r="E63" s="436" t="s">
        <v>155</v>
      </c>
      <c r="F63" s="471">
        <f>INPUT!E65</f>
        <v>547000</v>
      </c>
      <c r="G63" s="472">
        <f t="shared" si="3"/>
        <v>0.23685250920076106</v>
      </c>
      <c r="H63" s="435"/>
      <c r="I63" s="141"/>
      <c r="J63" s="155"/>
    </row>
    <row r="64" spans="1:12">
      <c r="A64" s="434" t="s">
        <v>156</v>
      </c>
      <c r="B64" s="463">
        <f>INPUT!B66</f>
        <v>569500</v>
      </c>
      <c r="C64" s="154">
        <f t="shared" si="2"/>
        <v>0.24454949140251084</v>
      </c>
      <c r="D64" s="432"/>
      <c r="E64" s="436" t="s">
        <v>156</v>
      </c>
      <c r="F64" s="471">
        <f>INPUT!E66</f>
        <v>74547</v>
      </c>
      <c r="G64" s="472">
        <f t="shared" si="3"/>
        <v>3.2279056678956371E-2</v>
      </c>
      <c r="H64" s="432"/>
      <c r="I64" s="141"/>
      <c r="J64" s="155"/>
    </row>
    <row r="65" spans="1:10">
      <c r="A65" s="434" t="s">
        <v>157</v>
      </c>
      <c r="B65" s="463">
        <f>INPUT!B67</f>
        <v>510600</v>
      </c>
      <c r="C65" s="154">
        <f t="shared" si="2"/>
        <v>0.21925719106254965</v>
      </c>
      <c r="D65" s="432"/>
      <c r="E65" s="436" t="s">
        <v>157</v>
      </c>
      <c r="F65" s="471">
        <f>INPUT!E67</f>
        <v>677500</v>
      </c>
      <c r="G65" s="472">
        <f t="shared" si="3"/>
        <v>0.29335936925688416</v>
      </c>
      <c r="H65" s="432"/>
      <c r="I65" s="141"/>
      <c r="J65" s="155"/>
    </row>
    <row r="66" spans="1:10">
      <c r="A66" s="434" t="s">
        <v>210</v>
      </c>
      <c r="B66" s="463">
        <f>INPUT!B68</f>
        <v>76500</v>
      </c>
      <c r="C66" s="154">
        <f t="shared" si="2"/>
        <v>3.2849931680934287E-2</v>
      </c>
      <c r="D66" s="432"/>
      <c r="E66" s="436" t="s">
        <v>210</v>
      </c>
      <c r="F66" s="471">
        <f>INPUT!E68</f>
        <v>81800</v>
      </c>
      <c r="G66" s="472">
        <f t="shared" si="3"/>
        <v>3.5419625690351474E-2</v>
      </c>
      <c r="H66" s="432"/>
      <c r="I66" s="141"/>
      <c r="J66" s="155"/>
    </row>
    <row r="67" spans="1:10">
      <c r="A67" s="437" t="s">
        <v>77</v>
      </c>
      <c r="B67" s="462">
        <f>(B78*B80)+(B79*B81)+(B83*B85)+(B84*B86)+(B88*B90)+(B89*B91)+(B93*B95)+(B94*B96)+(B98*B100)+(B99*B101)</f>
        <v>488333.18649999995</v>
      </c>
      <c r="C67" s="154">
        <f t="shared" si="2"/>
        <v>0.20969557926873125</v>
      </c>
      <c r="D67" s="432"/>
      <c r="E67" s="438" t="s">
        <v>77</v>
      </c>
      <c r="F67" s="471">
        <f>INPUT!E69</f>
        <v>0</v>
      </c>
      <c r="G67" s="472">
        <f t="shared" si="3"/>
        <v>0</v>
      </c>
      <c r="H67" s="432"/>
      <c r="I67" s="141"/>
      <c r="J67" s="155"/>
    </row>
    <row r="68" spans="1:10">
      <c r="A68" s="437" t="s">
        <v>74</v>
      </c>
      <c r="B68" s="462">
        <f>'Personale Diretto'!B51*12</f>
        <v>95940</v>
      </c>
      <c r="C68" s="154">
        <f t="shared" si="2"/>
        <v>4.1197679025736414E-2</v>
      </c>
      <c r="D68" s="432"/>
      <c r="E68" s="438" t="s">
        <v>74</v>
      </c>
      <c r="F68" s="471">
        <f>'Personale Diretto'!B38*12</f>
        <v>127920</v>
      </c>
      <c r="G68" s="472">
        <f t="shared" si="3"/>
        <v>5.5389712937772131E-2</v>
      </c>
      <c r="H68" s="432"/>
      <c r="I68" s="141"/>
      <c r="J68" s="155"/>
    </row>
    <row r="69" spans="1:10">
      <c r="A69" s="106" t="s">
        <v>154</v>
      </c>
      <c r="B69" s="464">
        <f>B54+B55+B56+B57-B58-B59-B60-B61+B62+B63+B64+B65+B66+B67</f>
        <v>2328771.9665000001</v>
      </c>
      <c r="C69" s="158">
        <f t="shared" si="2"/>
        <v>1</v>
      </c>
      <c r="D69" s="99"/>
      <c r="E69" s="108" t="s">
        <v>138</v>
      </c>
      <c r="F69" s="470">
        <f>F54+F55+F56+F57-F58-F59-F60-F61+F62+F63+F64+F65+F66+F67</f>
        <v>2309454.106464</v>
      </c>
      <c r="G69" s="473">
        <f t="shared" si="3"/>
        <v>1</v>
      </c>
      <c r="H69" s="99"/>
      <c r="I69" s="99"/>
      <c r="J69" s="155"/>
    </row>
    <row r="70" spans="1:10">
      <c r="A70" s="106" t="s">
        <v>139</v>
      </c>
      <c r="B70" s="464">
        <f>B54+B55+B56+B57-B58-B59-B60-B61+B62+B63+B67+B64+B65+B66+B68</f>
        <v>2424711.9665000001</v>
      </c>
      <c r="C70" s="154"/>
      <c r="D70" s="99"/>
      <c r="E70" s="108" t="s">
        <v>139</v>
      </c>
      <c r="F70" s="470">
        <f>F54+F55+F56+F57-F58-F59-F60-F61+F62+F63+F64+F65+F66+F67+F68</f>
        <v>2437374.106464</v>
      </c>
      <c r="G70" s="322"/>
      <c r="H70" s="99"/>
      <c r="I70" s="99"/>
      <c r="J70" s="155"/>
    </row>
    <row r="71" spans="1:10">
      <c r="A71" s="109" t="s">
        <v>62</v>
      </c>
      <c r="B71" s="311"/>
      <c r="C71" s="311"/>
      <c r="D71" s="111"/>
      <c r="E71" s="327" t="s">
        <v>62</v>
      </c>
      <c r="F71" s="321"/>
      <c r="G71" s="321"/>
      <c r="H71" s="58"/>
      <c r="I71" s="28"/>
      <c r="J71" s="155"/>
    </row>
    <row r="72" spans="1:10">
      <c r="A72" s="114" t="s">
        <v>147</v>
      </c>
      <c r="B72" s="312">
        <f>B73/1000</f>
        <v>1033000</v>
      </c>
      <c r="C72" s="312"/>
      <c r="D72" s="134"/>
      <c r="E72" s="328" t="s">
        <v>147</v>
      </c>
      <c r="F72" s="322">
        <f>F73/1000</f>
        <v>1504000</v>
      </c>
      <c r="G72" s="332"/>
      <c r="H72" s="134"/>
      <c r="I72" s="141"/>
      <c r="J72" s="155"/>
    </row>
    <row r="73" spans="1:10">
      <c r="A73" s="114" t="s">
        <v>149</v>
      </c>
      <c r="B73" s="313">
        <f>('Struttura Ricavi'!B49+'Struttura Ricavi'!B58)*400</f>
        <v>1033000000</v>
      </c>
      <c r="C73" s="313"/>
      <c r="D73" s="155"/>
      <c r="E73" s="328" t="s">
        <v>149</v>
      </c>
      <c r="F73" s="323">
        <f>('Struttura Ricavi'!B35+'Struttura Ricavi'!B44)*400</f>
        <v>1504000000</v>
      </c>
      <c r="G73" s="451"/>
      <c r="H73" s="155"/>
      <c r="I73" s="141"/>
      <c r="J73" s="155"/>
    </row>
    <row r="74" spans="1:10">
      <c r="A74" s="114" t="s">
        <v>150</v>
      </c>
      <c r="B74" s="313">
        <f>B75/1000</f>
        <v>6960200</v>
      </c>
      <c r="C74" s="313"/>
      <c r="D74" s="155"/>
      <c r="E74" s="328" t="s">
        <v>150</v>
      </c>
      <c r="F74" s="323">
        <f>F75/1000</f>
        <v>9942337.5999999996</v>
      </c>
      <c r="G74" s="451"/>
      <c r="H74" s="155"/>
      <c r="I74" s="141"/>
      <c r="J74" s="155"/>
    </row>
    <row r="75" spans="1:10">
      <c r="A75" s="114" t="s">
        <v>148</v>
      </c>
      <c r="B75" s="313">
        <f>('Struttura Ricavi'!B54+'Struttura Ricavi'!B59)*2600</f>
        <v>6960200000</v>
      </c>
      <c r="C75" s="313"/>
      <c r="D75" s="155"/>
      <c r="E75" s="328" t="s">
        <v>148</v>
      </c>
      <c r="F75" s="323">
        <f>('Struttura Ricavi'!B40+'Struttura Ricavi'!B45)*2600</f>
        <v>9942337600</v>
      </c>
      <c r="G75" s="451"/>
      <c r="H75" s="155"/>
      <c r="I75" s="141"/>
      <c r="J75" s="155"/>
    </row>
    <row r="76" spans="1:10">
      <c r="A76" s="114" t="s">
        <v>144</v>
      </c>
      <c r="B76" s="458">
        <f>INPUT!B70</f>
        <v>5.1650000000000001E-2</v>
      </c>
      <c r="C76" s="314"/>
      <c r="D76" s="440"/>
      <c r="E76" s="328" t="s">
        <v>144</v>
      </c>
      <c r="F76" s="468">
        <f>INPUT!E70</f>
        <v>6.7140000000000005E-2</v>
      </c>
      <c r="G76" s="452"/>
      <c r="H76" s="440"/>
      <c r="I76" s="141"/>
      <c r="J76" s="155"/>
    </row>
    <row r="77" spans="1:10">
      <c r="A77" s="120" t="s">
        <v>78</v>
      </c>
      <c r="B77" s="315"/>
      <c r="C77" s="315"/>
      <c r="D77" s="121"/>
      <c r="E77" s="161" t="s">
        <v>78</v>
      </c>
      <c r="F77" s="324"/>
      <c r="G77" s="324"/>
      <c r="H77" s="121"/>
      <c r="I77" s="121"/>
      <c r="J77" s="155"/>
    </row>
    <row r="78" spans="1:10">
      <c r="A78" s="120" t="s">
        <v>151</v>
      </c>
      <c r="B78" s="459">
        <f>INPUT!B72</f>
        <v>5.9900000000000002E-2</v>
      </c>
      <c r="C78" s="316"/>
      <c r="D78" s="126"/>
      <c r="E78" s="161" t="s">
        <v>151</v>
      </c>
      <c r="F78" s="469">
        <f>INPUT!E72</f>
        <v>5.9900000000000002E-2</v>
      </c>
      <c r="G78" s="330"/>
      <c r="H78" s="126"/>
      <c r="I78" s="141"/>
      <c r="J78" s="155"/>
    </row>
    <row r="79" spans="1:10">
      <c r="A79" s="120" t="s">
        <v>152</v>
      </c>
      <c r="B79" s="459">
        <f>INPUT!B73</f>
        <v>7.2622999999999993E-2</v>
      </c>
      <c r="C79" s="317"/>
      <c r="D79" s="130"/>
      <c r="E79" s="161" t="s">
        <v>152</v>
      </c>
      <c r="F79" s="469">
        <f>INPUT!E73</f>
        <v>7.2622999999999993E-2</v>
      </c>
      <c r="G79" s="331"/>
      <c r="H79" s="130"/>
      <c r="I79" s="141"/>
      <c r="J79" s="155"/>
    </row>
    <row r="80" spans="1:10">
      <c r="A80" s="133" t="s">
        <v>141</v>
      </c>
      <c r="B80" s="312">
        <f>B73/400</f>
        <v>2582500</v>
      </c>
      <c r="C80" s="312"/>
      <c r="D80" s="134"/>
      <c r="E80" s="163" t="s">
        <v>141</v>
      </c>
      <c r="F80" s="322">
        <f>F73/400</f>
        <v>3760000</v>
      </c>
      <c r="G80" s="332"/>
      <c r="H80" s="134"/>
      <c r="I80" s="141"/>
      <c r="J80" s="155"/>
    </row>
    <row r="81" spans="1:10">
      <c r="A81" s="133" t="s">
        <v>142</v>
      </c>
      <c r="B81" s="312">
        <f>B75/2600</f>
        <v>2677000</v>
      </c>
      <c r="C81" s="312"/>
      <c r="D81" s="134"/>
      <c r="E81" s="163" t="s">
        <v>142</v>
      </c>
      <c r="F81" s="322">
        <f>F75/2600</f>
        <v>3823976</v>
      </c>
      <c r="G81" s="332"/>
      <c r="H81" s="134"/>
      <c r="I81" s="141"/>
      <c r="J81" s="155"/>
    </row>
    <row r="82" spans="1:10">
      <c r="A82" s="133" t="s">
        <v>79</v>
      </c>
      <c r="B82" s="318"/>
      <c r="C82" s="318"/>
      <c r="D82" s="124"/>
      <c r="E82" s="163" t="s">
        <v>79</v>
      </c>
      <c r="F82" s="325"/>
      <c r="G82" s="325"/>
      <c r="H82" s="124"/>
      <c r="I82" s="121"/>
      <c r="J82" s="155"/>
    </row>
    <row r="83" spans="1:10">
      <c r="A83" s="120" t="s">
        <v>145</v>
      </c>
      <c r="B83" s="459">
        <f>INPUT!B75</f>
        <v>7.7539999999999996E-3</v>
      </c>
      <c r="C83" s="319"/>
      <c r="D83" s="138"/>
      <c r="E83" s="161" t="s">
        <v>145</v>
      </c>
      <c r="F83" s="469">
        <f>INPUT!E75</f>
        <v>7.7539999999999996E-3</v>
      </c>
      <c r="G83" s="333"/>
      <c r="H83" s="138"/>
      <c r="I83" s="141"/>
      <c r="J83" s="155"/>
    </row>
    <row r="84" spans="1:10">
      <c r="A84" s="120" t="s">
        <v>146</v>
      </c>
      <c r="B84" s="459">
        <f>INPUT!B76</f>
        <v>1.5814000000000002E-2</v>
      </c>
      <c r="C84" s="319"/>
      <c r="D84" s="138"/>
      <c r="E84" s="161" t="s">
        <v>146</v>
      </c>
      <c r="F84" s="469">
        <f>INPUT!E76</f>
        <v>1.5814000000000002E-2</v>
      </c>
      <c r="G84" s="333"/>
      <c r="H84" s="138"/>
      <c r="I84" s="141"/>
      <c r="J84" s="155"/>
    </row>
    <row r="85" spans="1:10">
      <c r="A85" s="133" t="s">
        <v>141</v>
      </c>
      <c r="B85" s="312">
        <f>'Struttura Ricavi'!B49+'Struttura Ricavi'!B58</f>
        <v>2582500</v>
      </c>
      <c r="C85" s="312"/>
      <c r="D85" s="134"/>
      <c r="E85" s="163" t="s">
        <v>141</v>
      </c>
      <c r="F85" s="322">
        <f>'Struttura Ricavi'!B35+'Struttura Ricavi'!B44</f>
        <v>3760000</v>
      </c>
      <c r="G85" s="332"/>
      <c r="H85" s="134"/>
      <c r="I85" s="141"/>
      <c r="J85" s="155"/>
    </row>
    <row r="86" spans="1:10">
      <c r="A86" s="133" t="s">
        <v>142</v>
      </c>
      <c r="B86" s="312">
        <f>'Struttura Ricavi'!B54+'Struttura Ricavi'!B59</f>
        <v>2677000</v>
      </c>
      <c r="C86" s="312"/>
      <c r="D86" s="134"/>
      <c r="E86" s="163" t="s">
        <v>142</v>
      </c>
      <c r="F86" s="322">
        <f>'Struttura Ricavi'!B40+'Struttura Ricavi'!B45</f>
        <v>3823976</v>
      </c>
      <c r="G86" s="332"/>
      <c r="H86" s="134"/>
      <c r="I86" s="141"/>
      <c r="J86" s="155"/>
    </row>
    <row r="87" spans="1:10">
      <c r="A87" s="133" t="s">
        <v>143</v>
      </c>
      <c r="B87" s="442"/>
      <c r="C87" s="442"/>
      <c r="D87" s="100"/>
      <c r="E87" s="163" t="s">
        <v>143</v>
      </c>
      <c r="F87" s="443"/>
      <c r="G87" s="443"/>
      <c r="H87" s="100"/>
      <c r="I87" s="141"/>
      <c r="J87" s="155"/>
    </row>
    <row r="88" spans="1:10">
      <c r="A88" s="120" t="s">
        <v>145</v>
      </c>
      <c r="B88" s="459">
        <f>INPUT!B78</f>
        <v>1.1670000000000001E-3</v>
      </c>
      <c r="C88" s="317"/>
      <c r="D88" s="130"/>
      <c r="E88" s="161" t="s">
        <v>145</v>
      </c>
      <c r="F88" s="469">
        <f>INPUT!E78</f>
        <v>1.1670000000000001E-3</v>
      </c>
      <c r="G88" s="331"/>
      <c r="H88" s="130"/>
      <c r="I88" s="141"/>
      <c r="J88" s="155"/>
    </row>
    <row r="89" spans="1:10">
      <c r="A89" s="120" t="s">
        <v>146</v>
      </c>
      <c r="B89" s="459">
        <f>INPUT!B79</f>
        <v>2.4525000000000002E-2</v>
      </c>
      <c r="C89" s="317"/>
      <c r="D89" s="130"/>
      <c r="E89" s="161" t="s">
        <v>146</v>
      </c>
      <c r="F89" s="469">
        <f>INPUT!E79</f>
        <v>2.4525000000000002E-2</v>
      </c>
      <c r="G89" s="331"/>
      <c r="H89" s="130"/>
      <c r="I89" s="141"/>
      <c r="J89" s="155"/>
    </row>
    <row r="90" spans="1:10">
      <c r="A90" s="162" t="s">
        <v>141</v>
      </c>
      <c r="B90" s="312">
        <f>B73/400</f>
        <v>2582500</v>
      </c>
      <c r="C90" s="115"/>
      <c r="D90" s="134"/>
      <c r="E90" s="163" t="s">
        <v>141</v>
      </c>
      <c r="F90" s="322">
        <f>F73/400</f>
        <v>3760000</v>
      </c>
      <c r="G90" s="332"/>
      <c r="H90" s="134"/>
      <c r="I90" s="141"/>
      <c r="J90" s="155"/>
    </row>
    <row r="91" spans="1:10">
      <c r="A91" s="162" t="s">
        <v>142</v>
      </c>
      <c r="B91" s="312">
        <f>B75/2600</f>
        <v>2677000</v>
      </c>
      <c r="C91" s="115"/>
      <c r="D91" s="134"/>
      <c r="E91" s="163" t="s">
        <v>142</v>
      </c>
      <c r="F91" s="322">
        <f>F75/2600</f>
        <v>3823976</v>
      </c>
      <c r="G91" s="332"/>
      <c r="H91" s="134"/>
      <c r="I91" s="141"/>
      <c r="J91" s="155"/>
    </row>
    <row r="92" spans="1:10">
      <c r="A92" s="133" t="s">
        <v>80</v>
      </c>
      <c r="B92" s="453"/>
      <c r="C92" s="454"/>
      <c r="D92" s="143"/>
      <c r="E92" s="163" t="s">
        <v>80</v>
      </c>
      <c r="F92" s="446"/>
      <c r="G92" s="446"/>
      <c r="H92" s="143"/>
      <c r="I92" s="142"/>
      <c r="J92" s="155"/>
    </row>
    <row r="93" spans="1:10">
      <c r="A93" s="120" t="s">
        <v>145</v>
      </c>
      <c r="B93" s="459">
        <f>INPUT!B81</f>
        <v>1.712E-3</v>
      </c>
      <c r="C93" s="129"/>
      <c r="D93" s="130"/>
      <c r="E93" s="161" t="s">
        <v>145</v>
      </c>
      <c r="F93" s="469">
        <f>INPUT!E81</f>
        <v>1.712E-3</v>
      </c>
      <c r="G93" s="331"/>
      <c r="H93" s="130"/>
      <c r="I93" s="141"/>
      <c r="J93" s="155"/>
    </row>
    <row r="94" spans="1:10">
      <c r="A94" s="120" t="s">
        <v>146</v>
      </c>
      <c r="B94" s="459">
        <f>INPUT!B82</f>
        <v>0</v>
      </c>
      <c r="C94" s="144"/>
      <c r="D94" s="145"/>
      <c r="E94" s="161" t="s">
        <v>146</v>
      </c>
      <c r="F94" s="469">
        <f>INPUT!E82</f>
        <v>0</v>
      </c>
      <c r="G94" s="334"/>
      <c r="H94" s="145"/>
      <c r="I94" s="141"/>
      <c r="J94" s="155"/>
    </row>
    <row r="95" spans="1:10">
      <c r="A95" s="162" t="s">
        <v>141</v>
      </c>
      <c r="B95" s="312">
        <f>B73/400</f>
        <v>2582500</v>
      </c>
      <c r="C95" s="115"/>
      <c r="D95" s="134"/>
      <c r="E95" s="163" t="s">
        <v>141</v>
      </c>
      <c r="F95" s="322">
        <f>F73/400</f>
        <v>3760000</v>
      </c>
      <c r="G95" s="332"/>
      <c r="H95" s="134"/>
      <c r="I95" s="141"/>
      <c r="J95" s="155"/>
    </row>
    <row r="96" spans="1:10">
      <c r="A96" s="162" t="s">
        <v>142</v>
      </c>
      <c r="B96" s="312">
        <f>B75/2600</f>
        <v>2677000</v>
      </c>
      <c r="C96" s="115"/>
      <c r="D96" s="134"/>
      <c r="E96" s="163" t="s">
        <v>142</v>
      </c>
      <c r="F96" s="322">
        <f>F75/2600</f>
        <v>3823976</v>
      </c>
      <c r="G96" s="332"/>
      <c r="H96" s="134"/>
      <c r="I96" s="141"/>
      <c r="J96" s="155"/>
    </row>
    <row r="97" spans="1:10">
      <c r="A97" s="133" t="s">
        <v>81</v>
      </c>
      <c r="B97" s="453"/>
      <c r="C97" s="454"/>
      <c r="D97" s="143"/>
      <c r="E97" s="163" t="s">
        <v>81</v>
      </c>
      <c r="F97" s="446"/>
      <c r="G97" s="446"/>
      <c r="H97" s="143"/>
      <c r="I97" s="142"/>
      <c r="J97" s="155"/>
    </row>
    <row r="98" spans="1:10">
      <c r="A98" s="120" t="s">
        <v>145</v>
      </c>
      <c r="B98" s="459">
        <f>INPUT!B84</f>
        <v>2.0000000000000001E-4</v>
      </c>
      <c r="C98" s="125"/>
      <c r="D98" s="126"/>
      <c r="E98" s="161" t="s">
        <v>145</v>
      </c>
      <c r="F98" s="469">
        <f>INPUT!E84</f>
        <v>2.0000000000000001E-4</v>
      </c>
      <c r="G98" s="330"/>
      <c r="H98" s="126"/>
      <c r="I98" s="141"/>
      <c r="J98" s="155"/>
    </row>
    <row r="99" spans="1:10">
      <c r="A99" s="120" t="s">
        <v>146</v>
      </c>
      <c r="B99" s="459">
        <f>INPUT!B85</f>
        <v>1.2199999999999999E-3</v>
      </c>
      <c r="C99" s="144"/>
      <c r="D99" s="145"/>
      <c r="E99" s="161" t="s">
        <v>146</v>
      </c>
      <c r="F99" s="469">
        <f>INPUT!E85</f>
        <v>1.2199999999999999E-3</v>
      </c>
      <c r="G99" s="334"/>
      <c r="H99" s="145"/>
      <c r="I99" s="141"/>
      <c r="J99" s="155"/>
    </row>
    <row r="100" spans="1:10">
      <c r="A100" s="162" t="s">
        <v>141</v>
      </c>
      <c r="B100" s="312">
        <f>B73/400</f>
        <v>2582500</v>
      </c>
      <c r="C100" s="115"/>
      <c r="D100" s="134"/>
      <c r="E100" s="163" t="s">
        <v>141</v>
      </c>
      <c r="F100" s="322">
        <f>F73/400</f>
        <v>3760000</v>
      </c>
      <c r="G100" s="332"/>
      <c r="H100" s="134"/>
      <c r="I100" s="141"/>
      <c r="J100" s="155"/>
    </row>
    <row r="101" spans="1:10">
      <c r="A101" s="164" t="s">
        <v>142</v>
      </c>
      <c r="B101" s="312">
        <f>B75/2600</f>
        <v>2677000</v>
      </c>
      <c r="C101" s="115"/>
      <c r="D101" s="134"/>
      <c r="E101" s="329" t="s">
        <v>142</v>
      </c>
      <c r="F101" s="322">
        <f>F75/2600</f>
        <v>3823976</v>
      </c>
      <c r="G101" s="332"/>
      <c r="H101" s="134"/>
      <c r="I101" s="141"/>
      <c r="J101" s="155"/>
    </row>
  </sheetData>
  <mergeCells count="2">
    <mergeCell ref="K51:L51"/>
    <mergeCell ref="E52:G52"/>
  </mergeCells>
  <phoneticPr fontId="0" type="noConversion"/>
  <printOptions horizontalCentered="1" verticalCentered="1"/>
  <pageMargins left="0.19685039370078741" right="0.19685039370078741" top="0.19685039370078741" bottom="0.19685039370078741" header="0.19685039370078741"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5">
    <pageSetUpPr fitToPage="1"/>
  </sheetPr>
  <dimension ref="A1:AC103"/>
  <sheetViews>
    <sheetView zoomScaleNormal="100" workbookViewId="0"/>
  </sheetViews>
  <sheetFormatPr defaultColWidth="9.109375" defaultRowHeight="13.15"/>
  <cols>
    <col min="1" max="1" width="93.109375" style="58" bestFit="1" customWidth="1"/>
    <col min="2" max="2" width="27.5546875" style="58" bestFit="1" customWidth="1"/>
    <col min="3" max="3" width="30.88671875" style="58" customWidth="1"/>
    <col min="4" max="4" width="25.33203125" style="58" customWidth="1"/>
    <col min="5" max="5" width="36.44140625" style="58" customWidth="1"/>
    <col min="6" max="6" width="24.6640625" style="58" customWidth="1"/>
    <col min="7" max="7" width="21.109375" style="58" customWidth="1"/>
    <col min="8" max="8" width="22.88671875" style="58" customWidth="1"/>
    <col min="9" max="9" width="28" style="58" customWidth="1"/>
    <col min="10" max="10" width="25.5546875" style="58" customWidth="1"/>
    <col min="11" max="11" width="31.88671875" style="58" customWidth="1"/>
    <col min="12" max="12" width="34.88671875" style="58" customWidth="1"/>
    <col min="13" max="15" width="21.109375" style="58" customWidth="1"/>
    <col min="16" max="16" width="32" style="490" customWidth="1"/>
    <col min="17" max="17" width="35.109375" style="58" customWidth="1"/>
    <col min="18" max="18" width="39.88671875" style="58" customWidth="1"/>
    <col min="19" max="19" width="34.33203125" style="58" customWidth="1"/>
    <col min="20" max="20" width="32" style="58" customWidth="1"/>
    <col min="21" max="22" width="29.33203125" style="58" customWidth="1"/>
    <col min="23" max="23" width="16.5546875" style="58" bestFit="1" customWidth="1"/>
    <col min="24" max="24" width="16.5546875" style="58" customWidth="1"/>
    <col min="25" max="25" width="34.44140625" style="58" bestFit="1" customWidth="1"/>
    <col min="26" max="26" width="9.88671875" style="58" bestFit="1" customWidth="1"/>
    <col min="27" max="27" width="26.88671875" style="58" customWidth="1"/>
    <col min="28" max="28" width="4.6640625" style="152" hidden="1" customWidth="1"/>
    <col min="29" max="29" width="17.88671875" style="58" customWidth="1"/>
    <col min="30" max="31" width="18.33203125" style="58" customWidth="1"/>
    <col min="32" max="32" width="10.33203125" style="58" bestFit="1" customWidth="1"/>
    <col min="33" max="33" width="14.88671875" style="58" customWidth="1"/>
    <col min="34" max="34" width="9.109375" style="58"/>
    <col min="35" max="35" width="14.33203125" style="58" customWidth="1"/>
    <col min="36" max="36" width="11" style="58" customWidth="1"/>
    <col min="37" max="16384" width="9.109375" style="58"/>
  </cols>
  <sheetData>
    <row r="1" spans="1:28">
      <c r="A1" s="474" t="s">
        <v>315</v>
      </c>
      <c r="B1" s="475"/>
      <c r="C1" s="476"/>
      <c r="D1" s="476"/>
      <c r="E1" s="476"/>
      <c r="F1" s="476"/>
      <c r="G1" s="476"/>
      <c r="H1" s="476"/>
      <c r="I1" s="476"/>
      <c r="J1" s="476"/>
      <c r="K1" s="476"/>
      <c r="L1" s="476"/>
      <c r="M1" s="476"/>
      <c r="N1" s="476"/>
      <c r="O1" s="369"/>
      <c r="P1" s="477"/>
      <c r="Q1" s="478"/>
      <c r="R1" s="478"/>
      <c r="S1" s="478"/>
      <c r="T1" s="478"/>
      <c r="U1" s="478"/>
      <c r="V1" s="478"/>
      <c r="W1" s="478"/>
      <c r="X1" s="479"/>
      <c r="Y1" s="480"/>
      <c r="Z1" s="478"/>
      <c r="AA1" s="478"/>
      <c r="AB1" s="478"/>
    </row>
    <row r="2" spans="1:28">
      <c r="A2" s="83" t="s">
        <v>1</v>
      </c>
      <c r="B2" s="481">
        <v>44926</v>
      </c>
      <c r="C2" s="482"/>
      <c r="D2" s="483"/>
      <c r="E2" s="482"/>
      <c r="F2" s="483"/>
      <c r="G2" s="482"/>
      <c r="H2" s="483"/>
      <c r="I2" s="482"/>
      <c r="J2" s="483"/>
      <c r="K2" s="482"/>
      <c r="L2" s="483"/>
      <c r="M2" s="482"/>
      <c r="N2" s="484"/>
      <c r="P2" s="485"/>
      <c r="Q2" s="486"/>
      <c r="R2" s="486"/>
      <c r="T2" s="486"/>
      <c r="U2" s="486"/>
      <c r="AA2" s="100"/>
      <c r="AB2" s="58"/>
    </row>
    <row r="3" spans="1:28">
      <c r="A3" s="487" t="s">
        <v>8</v>
      </c>
      <c r="B3" s="488"/>
      <c r="C3" s="501" t="s">
        <v>3</v>
      </c>
      <c r="D3" s="489"/>
      <c r="E3" s="489"/>
      <c r="F3" s="489"/>
      <c r="G3" s="489"/>
      <c r="H3" s="489"/>
      <c r="I3" s="489"/>
      <c r="J3" s="489"/>
      <c r="K3" s="489"/>
      <c r="L3" s="489"/>
      <c r="M3" s="489"/>
      <c r="N3" s="489"/>
      <c r="Q3" s="491"/>
      <c r="AA3" s="152"/>
      <c r="AB3" s="58"/>
    </row>
    <row r="4" spans="1:28" ht="12.55">
      <c r="A4" s="492" t="s">
        <v>73</v>
      </c>
      <c r="B4" s="576">
        <f>'Costi diretti'!F19</f>
        <v>7203446.0811219998</v>
      </c>
      <c r="C4" s="493">
        <f>B4/B$6</f>
        <v>0.49925115210163828</v>
      </c>
      <c r="D4" s="124"/>
      <c r="E4" s="494"/>
      <c r="F4" s="124"/>
      <c r="G4" s="494"/>
      <c r="H4" s="124"/>
      <c r="I4" s="494"/>
      <c r="J4" s="124"/>
      <c r="K4" s="494"/>
      <c r="L4" s="124"/>
      <c r="M4" s="494"/>
      <c r="N4" s="494"/>
      <c r="O4" s="103"/>
      <c r="P4" s="58"/>
      <c r="R4" s="494"/>
      <c r="AA4" s="152"/>
      <c r="AB4" s="58"/>
    </row>
    <row r="5" spans="1:28" ht="12.55">
      <c r="A5" s="492" t="s">
        <v>69</v>
      </c>
      <c r="B5" s="576">
        <f>'Costi diretti'!B19</f>
        <v>7225055.5874239998</v>
      </c>
      <c r="C5" s="493">
        <f>B5/B$6</f>
        <v>0.50074884789836183</v>
      </c>
      <c r="D5" s="124"/>
      <c r="E5" s="494"/>
      <c r="F5" s="124"/>
      <c r="G5" s="494"/>
      <c r="H5" s="124"/>
      <c r="I5" s="494"/>
      <c r="J5" s="124"/>
      <c r="K5" s="494"/>
      <c r="L5" s="124"/>
      <c r="M5" s="494"/>
      <c r="N5" s="494"/>
      <c r="O5" s="103"/>
      <c r="P5" s="58"/>
      <c r="R5" s="494"/>
      <c r="AA5" s="152"/>
      <c r="AB5" s="58"/>
    </row>
    <row r="6" spans="1:28">
      <c r="A6" s="91" t="s">
        <v>252</v>
      </c>
      <c r="B6" s="577">
        <f>B4+B5</f>
        <v>14428501.668545999</v>
      </c>
      <c r="C6" s="495">
        <f>B6/B$6</f>
        <v>1</v>
      </c>
      <c r="D6" s="490"/>
      <c r="E6" s="494"/>
      <c r="F6" s="490"/>
      <c r="G6" s="494"/>
      <c r="H6" s="490"/>
      <c r="I6" s="494"/>
      <c r="J6" s="490"/>
      <c r="K6" s="494"/>
      <c r="L6" s="490"/>
      <c r="M6" s="494"/>
      <c r="N6" s="494"/>
      <c r="P6" s="58"/>
      <c r="R6" s="494"/>
      <c r="T6" s="496"/>
      <c r="U6" s="496"/>
      <c r="AA6" s="152"/>
      <c r="AB6" s="58"/>
    </row>
    <row r="7" spans="1:28">
      <c r="B7" s="578"/>
      <c r="F7" s="141"/>
      <c r="G7" s="496"/>
      <c r="H7" s="100"/>
      <c r="I7" s="496"/>
      <c r="J7" s="100"/>
      <c r="K7" s="496"/>
      <c r="L7" s="100"/>
      <c r="M7" s="496"/>
      <c r="N7" s="497"/>
      <c r="P7" s="58"/>
      <c r="R7" s="496"/>
      <c r="S7" s="497"/>
      <c r="T7" s="496"/>
      <c r="U7" s="496"/>
      <c r="AA7" s="100"/>
      <c r="AB7" s="58"/>
    </row>
    <row r="8" spans="1:28">
      <c r="A8" s="498" t="s">
        <v>316</v>
      </c>
      <c r="B8" s="579"/>
      <c r="C8" s="501" t="s">
        <v>3</v>
      </c>
      <c r="D8" s="500"/>
      <c r="E8" s="500"/>
      <c r="F8" s="500"/>
      <c r="G8" s="500"/>
      <c r="H8" s="500"/>
      <c r="I8" s="500"/>
      <c r="J8" s="500"/>
      <c r="K8" s="500"/>
      <c r="L8" s="500"/>
      <c r="M8" s="499"/>
      <c r="N8" s="501"/>
      <c r="P8" s="58"/>
      <c r="R8" s="494"/>
      <c r="S8" s="502"/>
      <c r="AA8" s="152"/>
      <c r="AB8" s="58"/>
    </row>
    <row r="9" spans="1:28">
      <c r="A9" s="86" t="s">
        <v>38</v>
      </c>
      <c r="B9" s="580">
        <f>INPUT!B103</f>
        <v>1572337</v>
      </c>
      <c r="C9" s="493">
        <f>B9/B$29</f>
        <v>0.3470123716941852</v>
      </c>
      <c r="D9" s="103"/>
      <c r="E9" s="494"/>
      <c r="F9" s="103"/>
      <c r="G9" s="494"/>
      <c r="H9" s="103"/>
      <c r="I9" s="494"/>
      <c r="J9" s="103"/>
      <c r="K9" s="494"/>
      <c r="L9" s="103"/>
      <c r="M9" s="494"/>
      <c r="N9" s="502"/>
      <c r="O9" s="103"/>
      <c r="P9" s="58"/>
      <c r="R9" s="494"/>
      <c r="S9" s="502"/>
      <c r="T9" s="503"/>
      <c r="U9" s="503"/>
      <c r="AA9" s="152"/>
      <c r="AB9" s="58"/>
    </row>
    <row r="10" spans="1:28">
      <c r="A10" s="86" t="s">
        <v>39</v>
      </c>
      <c r="B10" s="580">
        <f>'C.E. Riclassificato'!B13</f>
        <v>57510</v>
      </c>
      <c r="C10" s="493">
        <f t="shared" ref="C10:C29" si="0">B10/B$29</f>
        <v>1.2692369063459418E-2</v>
      </c>
      <c r="D10" s="103"/>
      <c r="E10" s="494"/>
      <c r="F10" s="504"/>
      <c r="G10" s="494"/>
      <c r="H10" s="504"/>
      <c r="I10" s="494"/>
      <c r="J10" s="504"/>
      <c r="K10" s="494"/>
      <c r="L10" s="504"/>
      <c r="M10" s="494"/>
      <c r="N10" s="502"/>
      <c r="O10" s="103"/>
      <c r="P10" s="58"/>
      <c r="R10" s="494"/>
      <c r="S10" s="502"/>
      <c r="T10" s="505"/>
      <c r="U10" s="505"/>
      <c r="AA10" s="152"/>
      <c r="AB10" s="58"/>
    </row>
    <row r="11" spans="1:28">
      <c r="A11" s="86" t="s">
        <v>124</v>
      </c>
      <c r="B11" s="580">
        <f>'C.E. Riclassificato'!B14</f>
        <v>110100</v>
      </c>
      <c r="C11" s="493">
        <f t="shared" si="0"/>
        <v>2.4298901649919699E-2</v>
      </c>
      <c r="D11" s="506"/>
      <c r="E11" s="494"/>
      <c r="F11" s="504"/>
      <c r="G11" s="494"/>
      <c r="H11" s="504"/>
      <c r="I11" s="494"/>
      <c r="J11" s="504"/>
      <c r="K11" s="494"/>
      <c r="L11" s="504"/>
      <c r="M11" s="494"/>
      <c r="N11" s="502"/>
      <c r="P11" s="58"/>
      <c r="R11" s="494"/>
      <c r="S11" s="502"/>
      <c r="T11" s="505"/>
      <c r="U11" s="505"/>
      <c r="AA11" s="152"/>
      <c r="AB11" s="58"/>
    </row>
    <row r="12" spans="1:28">
      <c r="A12" s="86" t="s">
        <v>121</v>
      </c>
      <c r="B12" s="580">
        <f>'C.E. Riclassificato'!B15</f>
        <v>115978</v>
      </c>
      <c r="C12" s="493">
        <f t="shared" si="0"/>
        <v>2.5596167262074358E-2</v>
      </c>
      <c r="D12" s="504"/>
      <c r="E12" s="494"/>
      <c r="F12" s="504"/>
      <c r="G12" s="494"/>
      <c r="H12" s="504"/>
      <c r="I12" s="494"/>
      <c r="J12" s="504"/>
      <c r="K12" s="494"/>
      <c r="L12" s="504"/>
      <c r="M12" s="494"/>
      <c r="N12" s="502"/>
      <c r="P12" s="58"/>
      <c r="R12" s="494"/>
      <c r="S12" s="502"/>
      <c r="T12" s="505"/>
      <c r="U12" s="505"/>
      <c r="AA12" s="152"/>
      <c r="AB12" s="58"/>
    </row>
    <row r="13" spans="1:28">
      <c r="A13" s="86" t="s">
        <v>122</v>
      </c>
      <c r="B13" s="580">
        <f>'C.E. Riclassificato'!B16</f>
        <v>65300</v>
      </c>
      <c r="C13" s="493">
        <f t="shared" si="0"/>
        <v>1.4411610152041383E-2</v>
      </c>
      <c r="D13" s="504"/>
      <c r="E13" s="494"/>
      <c r="F13" s="504"/>
      <c r="G13" s="494"/>
      <c r="H13" s="504"/>
      <c r="I13" s="494"/>
      <c r="J13" s="504"/>
      <c r="K13" s="494"/>
      <c r="L13" s="504"/>
      <c r="M13" s="494"/>
      <c r="N13" s="502"/>
      <c r="P13" s="58"/>
      <c r="R13" s="494"/>
      <c r="S13" s="502"/>
      <c r="T13" s="505"/>
      <c r="U13" s="505"/>
      <c r="AA13" s="152"/>
      <c r="AB13" s="58"/>
    </row>
    <row r="14" spans="1:28">
      <c r="A14" s="86" t="s">
        <v>40</v>
      </c>
      <c r="B14" s="580">
        <f>'C.E. Riclassificato'!B17</f>
        <v>65300</v>
      </c>
      <c r="C14" s="493">
        <f t="shared" si="0"/>
        <v>1.4411610152041383E-2</v>
      </c>
      <c r="D14" s="504"/>
      <c r="E14" s="494"/>
      <c r="F14" s="504"/>
      <c r="G14" s="494"/>
      <c r="H14" s="504"/>
      <c r="I14" s="494"/>
      <c r="J14" s="504"/>
      <c r="K14" s="494"/>
      <c r="L14" s="504"/>
      <c r="M14" s="494"/>
      <c r="N14" s="502"/>
      <c r="P14" s="58"/>
      <c r="R14" s="494"/>
      <c r="S14" s="502"/>
      <c r="T14" s="505"/>
      <c r="U14" s="505"/>
      <c r="AA14" s="152"/>
      <c r="AB14" s="58"/>
    </row>
    <row r="15" spans="1:28">
      <c r="A15" s="86" t="s">
        <v>126</v>
      </c>
      <c r="B15" s="580">
        <f>'C.E. Riclassificato'!B18</f>
        <v>75500</v>
      </c>
      <c r="C15" s="493">
        <f t="shared" si="0"/>
        <v>1.6662734555576177E-2</v>
      </c>
      <c r="D15" s="504"/>
      <c r="E15" s="494"/>
      <c r="F15" s="504"/>
      <c r="G15" s="494"/>
      <c r="H15" s="504"/>
      <c r="I15" s="494"/>
      <c r="J15" s="504"/>
      <c r="K15" s="494"/>
      <c r="L15" s="504"/>
      <c r="M15" s="494"/>
      <c r="N15" s="502"/>
      <c r="P15" s="58"/>
      <c r="R15" s="494"/>
      <c r="S15" s="502"/>
      <c r="T15" s="505"/>
      <c r="U15" s="505"/>
      <c r="AA15" s="152"/>
      <c r="AB15" s="58"/>
    </row>
    <row r="16" spans="1:28">
      <c r="A16" s="86" t="s">
        <v>125</v>
      </c>
      <c r="B16" s="580">
        <f>'C.E. Riclassificato'!B19</f>
        <v>132900</v>
      </c>
      <c r="C16" s="493">
        <f t="shared" si="0"/>
        <v>2.9330826787232769E-2</v>
      </c>
      <c r="D16" s="504"/>
      <c r="E16" s="494"/>
      <c r="F16" s="504"/>
      <c r="G16" s="494"/>
      <c r="H16" s="504"/>
      <c r="I16" s="494"/>
      <c r="J16" s="504"/>
      <c r="K16" s="494"/>
      <c r="L16" s="504"/>
      <c r="M16" s="494"/>
      <c r="N16" s="502"/>
      <c r="P16" s="58"/>
      <c r="R16" s="494"/>
      <c r="S16" s="502"/>
      <c r="T16" s="505"/>
      <c r="U16" s="505"/>
      <c r="AA16" s="152"/>
      <c r="AB16" s="58"/>
    </row>
    <row r="17" spans="1:28">
      <c r="A17" s="86" t="s">
        <v>123</v>
      </c>
      <c r="B17" s="580">
        <f>'C.E. Riclassificato'!B20</f>
        <v>342000</v>
      </c>
      <c r="C17" s="493">
        <f t="shared" si="0"/>
        <v>7.5478877059696067E-2</v>
      </c>
      <c r="D17" s="504"/>
      <c r="E17" s="494"/>
      <c r="F17" s="504"/>
      <c r="G17" s="494"/>
      <c r="H17" s="504"/>
      <c r="I17" s="494"/>
      <c r="J17" s="504"/>
      <c r="K17" s="494"/>
      <c r="L17" s="504"/>
      <c r="M17" s="494"/>
      <c r="N17" s="502"/>
      <c r="P17" s="58"/>
      <c r="R17" s="494"/>
      <c r="S17" s="502"/>
      <c r="T17" s="505"/>
      <c r="U17" s="505"/>
      <c r="AA17" s="152"/>
      <c r="AB17" s="58"/>
    </row>
    <row r="18" spans="1:28">
      <c r="A18" s="86" t="s">
        <v>41</v>
      </c>
      <c r="B18" s="580">
        <f>'C.E. Riclassificato'!B21</f>
        <v>170000</v>
      </c>
      <c r="C18" s="493">
        <f t="shared" si="0"/>
        <v>3.7518740058913251E-2</v>
      </c>
      <c r="D18" s="504"/>
      <c r="E18" s="494"/>
      <c r="F18" s="504"/>
      <c r="G18" s="494"/>
      <c r="H18" s="504"/>
      <c r="I18" s="494"/>
      <c r="J18" s="504"/>
      <c r="K18" s="494"/>
      <c r="L18" s="504"/>
      <c r="M18" s="494"/>
      <c r="N18" s="502"/>
      <c r="P18" s="58"/>
      <c r="R18" s="494"/>
      <c r="S18" s="502"/>
      <c r="T18" s="505"/>
      <c r="U18" s="505"/>
      <c r="AA18" s="152"/>
      <c r="AB18" s="58"/>
    </row>
    <row r="19" spans="1:28">
      <c r="A19" s="86" t="s">
        <v>42</v>
      </c>
      <c r="B19" s="580">
        <f>'C.E. Riclassificato'!B22</f>
        <v>73450</v>
      </c>
      <c r="C19" s="493">
        <f t="shared" si="0"/>
        <v>1.6210302690159873E-2</v>
      </c>
      <c r="D19" s="504"/>
      <c r="E19" s="494"/>
      <c r="F19" s="504"/>
      <c r="G19" s="494"/>
      <c r="H19" s="504"/>
      <c r="I19" s="494"/>
      <c r="J19" s="504"/>
      <c r="K19" s="494"/>
      <c r="L19" s="504"/>
      <c r="M19" s="494"/>
      <c r="N19" s="502"/>
      <c r="P19" s="58"/>
      <c r="R19" s="494"/>
      <c r="S19" s="502"/>
      <c r="T19" s="505"/>
      <c r="U19" s="505"/>
      <c r="AA19" s="152"/>
      <c r="AB19" s="58"/>
    </row>
    <row r="20" spans="1:28">
      <c r="A20" s="86" t="s">
        <v>43</v>
      </c>
      <c r="B20" s="580">
        <f>'C.E. Riclassificato'!B23</f>
        <v>131180</v>
      </c>
      <c r="C20" s="493">
        <f t="shared" si="0"/>
        <v>2.8951225417224943E-2</v>
      </c>
      <c r="D20" s="504"/>
      <c r="E20" s="494"/>
      <c r="F20" s="504"/>
      <c r="G20" s="494"/>
      <c r="H20" s="504"/>
      <c r="I20" s="494"/>
      <c r="J20" s="504"/>
      <c r="K20" s="494"/>
      <c r="L20" s="504"/>
      <c r="M20" s="494"/>
      <c r="N20" s="502"/>
      <c r="P20" s="58"/>
      <c r="R20" s="494"/>
      <c r="S20" s="502"/>
      <c r="T20" s="505"/>
      <c r="U20" s="505"/>
      <c r="AA20" s="152"/>
      <c r="AB20" s="58"/>
    </row>
    <row r="21" spans="1:28">
      <c r="A21" s="86" t="s">
        <v>127</v>
      </c>
      <c r="B21" s="580">
        <f>'C.E. Riclassificato'!B24</f>
        <v>107340</v>
      </c>
      <c r="C21" s="493">
        <f t="shared" si="0"/>
        <v>2.3689773870139697E-2</v>
      </c>
      <c r="D21" s="504"/>
      <c r="E21" s="494"/>
      <c r="F21" s="504"/>
      <c r="G21" s="494"/>
      <c r="H21" s="504"/>
      <c r="I21" s="494"/>
      <c r="J21" s="504"/>
      <c r="K21" s="494"/>
      <c r="L21" s="504"/>
      <c r="M21" s="494"/>
      <c r="N21" s="502"/>
      <c r="P21" s="58"/>
      <c r="R21" s="494"/>
      <c r="S21" s="502"/>
      <c r="T21" s="505"/>
      <c r="U21" s="505"/>
      <c r="AA21" s="152"/>
      <c r="AB21" s="58"/>
    </row>
    <row r="22" spans="1:28">
      <c r="A22" s="86" t="s">
        <v>46</v>
      </c>
      <c r="B22" s="580">
        <f>'C.E. Riclassificato'!B25</f>
        <v>133000</v>
      </c>
      <c r="C22" s="493">
        <f t="shared" si="0"/>
        <v>2.9352896634326248E-2</v>
      </c>
      <c r="D22" s="504"/>
      <c r="E22" s="494"/>
      <c r="F22" s="504"/>
      <c r="G22" s="494"/>
      <c r="H22" s="504"/>
      <c r="I22" s="494"/>
      <c r="J22" s="504"/>
      <c r="K22" s="494"/>
      <c r="L22" s="504"/>
      <c r="M22" s="494"/>
      <c r="N22" s="502"/>
      <c r="P22" s="58"/>
      <c r="R22" s="494"/>
      <c r="S22" s="502"/>
      <c r="T22" s="505"/>
      <c r="U22" s="505"/>
      <c r="AA22" s="152"/>
      <c r="AB22" s="58"/>
    </row>
    <row r="23" spans="1:28">
      <c r="A23" s="86" t="s">
        <v>128</v>
      </c>
      <c r="B23" s="580">
        <f>'C.E. Riclassificato'!B26</f>
        <v>145000</v>
      </c>
      <c r="C23" s="493">
        <f t="shared" si="0"/>
        <v>3.2001278285543652E-2</v>
      </c>
      <c r="D23" s="504"/>
      <c r="E23" s="494"/>
      <c r="F23" s="504"/>
      <c r="G23" s="494"/>
      <c r="H23" s="504"/>
      <c r="I23" s="494"/>
      <c r="J23" s="504"/>
      <c r="K23" s="494"/>
      <c r="L23" s="504"/>
      <c r="M23" s="494"/>
      <c r="N23" s="502"/>
      <c r="P23" s="58"/>
      <c r="R23" s="494"/>
      <c r="S23" s="502"/>
      <c r="T23" s="505"/>
      <c r="U23" s="505"/>
      <c r="AA23" s="152"/>
      <c r="AB23" s="58"/>
    </row>
    <row r="24" spans="1:28">
      <c r="A24" s="86" t="s">
        <v>44</v>
      </c>
      <c r="B24" s="580">
        <f>'C.E. Riclassificato'!B27</f>
        <v>137000</v>
      </c>
      <c r="C24" s="493">
        <f t="shared" si="0"/>
        <v>3.0235690518065385E-2</v>
      </c>
      <c r="D24" s="504"/>
      <c r="E24" s="494"/>
      <c r="F24" s="504"/>
      <c r="G24" s="494"/>
      <c r="H24" s="504"/>
      <c r="I24" s="494"/>
      <c r="J24" s="103"/>
      <c r="K24" s="494"/>
      <c r="L24" s="504"/>
      <c r="M24" s="494"/>
      <c r="N24" s="502"/>
      <c r="P24" s="58"/>
      <c r="R24" s="494"/>
      <c r="S24" s="502"/>
      <c r="T24" s="505"/>
      <c r="U24" s="505"/>
      <c r="AA24" s="152"/>
      <c r="AB24" s="58"/>
    </row>
    <row r="25" spans="1:28">
      <c r="A25" s="86" t="s">
        <v>45</v>
      </c>
      <c r="B25" s="580">
        <f>'C.E. Riclassificato'!B28</f>
        <v>122300</v>
      </c>
      <c r="C25" s="493">
        <f t="shared" si="0"/>
        <v>2.699142299532406E-2</v>
      </c>
      <c r="D25" s="504"/>
      <c r="E25" s="494"/>
      <c r="F25" s="504"/>
      <c r="G25" s="494"/>
      <c r="H25" s="504"/>
      <c r="I25" s="494"/>
      <c r="J25" s="504"/>
      <c r="K25" s="494"/>
      <c r="L25" s="504"/>
      <c r="M25" s="494"/>
      <c r="N25" s="502"/>
      <c r="P25" s="58"/>
      <c r="R25" s="494"/>
      <c r="S25" s="502"/>
      <c r="T25" s="505"/>
      <c r="U25" s="505"/>
      <c r="AA25" s="152"/>
      <c r="AB25" s="58"/>
    </row>
    <row r="26" spans="1:28">
      <c r="A26" s="86" t="s">
        <v>23</v>
      </c>
      <c r="B26" s="581">
        <f>'Bilancio d''Esercizio'!B17</f>
        <v>535101</v>
      </c>
      <c r="C26" s="493">
        <f t="shared" si="0"/>
        <v>0.11809597249567376</v>
      </c>
      <c r="D26" s="103"/>
      <c r="E26" s="494"/>
      <c r="F26" s="103"/>
      <c r="G26" s="494"/>
      <c r="H26" s="103"/>
      <c r="I26" s="494"/>
      <c r="J26" s="103"/>
      <c r="K26" s="494"/>
      <c r="L26" s="103"/>
      <c r="M26" s="494"/>
      <c r="N26" s="502"/>
      <c r="O26" s="103"/>
      <c r="P26" s="58"/>
      <c r="R26" s="494"/>
      <c r="S26" s="502"/>
      <c r="T26" s="505"/>
      <c r="U26" s="505"/>
      <c r="AB26" s="58"/>
    </row>
    <row r="27" spans="1:28">
      <c r="A27" s="86" t="s">
        <v>47</v>
      </c>
      <c r="B27" s="581">
        <f>INPUT!B121</f>
        <v>20781</v>
      </c>
      <c r="C27" s="493">
        <f t="shared" si="0"/>
        <v>4.5863349244957422E-3</v>
      </c>
      <c r="D27" s="103"/>
      <c r="E27" s="494"/>
      <c r="F27" s="103"/>
      <c r="G27" s="494"/>
      <c r="H27" s="103"/>
      <c r="I27" s="494"/>
      <c r="J27" s="103"/>
      <c r="K27" s="494"/>
      <c r="L27" s="103"/>
      <c r="M27" s="494"/>
      <c r="N27" s="502"/>
      <c r="O27" s="103"/>
      <c r="P27" s="58"/>
      <c r="R27" s="494"/>
      <c r="S27" s="502"/>
      <c r="T27" s="505"/>
      <c r="U27" s="505"/>
      <c r="AA27" s="152"/>
      <c r="AB27" s="58"/>
    </row>
    <row r="28" spans="1:28">
      <c r="A28" s="86" t="s">
        <v>48</v>
      </c>
      <c r="B28" s="581">
        <f>INPUT!B122</f>
        <v>418992</v>
      </c>
      <c r="C28" s="493">
        <f t="shared" si="0"/>
        <v>9.2470893733906948E-2</v>
      </c>
      <c r="D28" s="103"/>
      <c r="E28" s="494"/>
      <c r="F28" s="103"/>
      <c r="G28" s="494"/>
      <c r="H28" s="103"/>
      <c r="I28" s="494"/>
      <c r="J28" s="103"/>
      <c r="K28" s="494"/>
      <c r="L28" s="103"/>
      <c r="M28" s="494"/>
      <c r="N28" s="502"/>
      <c r="O28" s="103"/>
      <c r="P28" s="58"/>
      <c r="R28" s="494"/>
      <c r="S28" s="502"/>
      <c r="T28" s="505"/>
      <c r="U28" s="505"/>
      <c r="AA28" s="152"/>
      <c r="AB28" s="58"/>
    </row>
    <row r="29" spans="1:28">
      <c r="A29" s="91" t="s">
        <v>50</v>
      </c>
      <c r="B29" s="582">
        <f>SUM(B9:B28)</f>
        <v>4531069</v>
      </c>
      <c r="C29" s="495">
        <f t="shared" si="0"/>
        <v>1</v>
      </c>
      <c r="D29" s="490"/>
      <c r="E29" s="494"/>
      <c r="F29" s="490"/>
      <c r="G29" s="494"/>
      <c r="H29" s="490"/>
      <c r="I29" s="494"/>
      <c r="J29" s="490"/>
      <c r="K29" s="494"/>
      <c r="L29" s="490"/>
      <c r="M29" s="494"/>
      <c r="N29" s="502"/>
      <c r="O29" s="103"/>
      <c r="P29" s="58"/>
      <c r="R29" s="494"/>
      <c r="S29" s="502"/>
      <c r="T29" s="507"/>
      <c r="U29" s="507"/>
      <c r="AA29" s="152"/>
      <c r="AB29" s="58"/>
    </row>
    <row r="30" spans="1:28">
      <c r="A30" s="91" t="s">
        <v>51</v>
      </c>
      <c r="B30" s="582">
        <f>B6+B29</f>
        <v>18959570.668545999</v>
      </c>
      <c r="C30" s="508"/>
      <c r="D30" s="490"/>
      <c r="E30" s="494"/>
      <c r="F30" s="490"/>
      <c r="G30" s="494"/>
      <c r="H30" s="490"/>
      <c r="I30" s="494"/>
      <c r="J30" s="490"/>
      <c r="K30" s="494"/>
      <c r="L30" s="490"/>
      <c r="M30" s="494"/>
      <c r="N30" s="502"/>
      <c r="O30" s="103"/>
      <c r="P30" s="58"/>
      <c r="R30" s="207"/>
      <c r="S30" s="207"/>
      <c r="T30" s="207"/>
      <c r="U30" s="207"/>
      <c r="AA30" s="152"/>
      <c r="AB30" s="58"/>
    </row>
    <row r="31" spans="1:28">
      <c r="A31" s="28"/>
      <c r="B31" s="207"/>
      <c r="D31" s="207"/>
      <c r="E31" s="207"/>
      <c r="F31" s="207"/>
      <c r="G31" s="207"/>
      <c r="H31" s="207"/>
      <c r="I31" s="207"/>
      <c r="J31" s="207"/>
      <c r="K31" s="207"/>
      <c r="L31" s="207"/>
      <c r="M31" s="207"/>
      <c r="N31" s="509"/>
      <c r="P31" s="58"/>
      <c r="T31" s="207"/>
      <c r="U31" s="207"/>
      <c r="AA31" s="152"/>
      <c r="AB31" s="58"/>
    </row>
    <row r="32" spans="1:28">
      <c r="A32" s="510"/>
      <c r="B32" s="511"/>
    </row>
    <row r="33" spans="1:29">
      <c r="A33" s="28"/>
      <c r="B33" s="512"/>
      <c r="C33" s="513"/>
      <c r="D33" s="514"/>
      <c r="E33" s="512"/>
      <c r="F33" s="513"/>
      <c r="G33" s="515"/>
      <c r="H33" s="516"/>
      <c r="I33" s="512"/>
      <c r="J33" s="513"/>
      <c r="K33" s="138"/>
      <c r="L33" s="517"/>
      <c r="M33" s="513"/>
      <c r="N33" s="518"/>
      <c r="O33" s="519"/>
      <c r="Q33" s="513"/>
      <c r="R33" s="138"/>
      <c r="S33" s="517"/>
      <c r="T33" s="513"/>
      <c r="U33" s="517"/>
      <c r="V33" s="513"/>
      <c r="W33" s="512"/>
      <c r="X33" s="513"/>
      <c r="Y33" s="520"/>
      <c r="Z33" s="513"/>
      <c r="AA33" s="520"/>
      <c r="AB33" s="521"/>
      <c r="AC33" s="513"/>
    </row>
    <row r="34" spans="1:29">
      <c r="A34" s="772" t="s">
        <v>253</v>
      </c>
      <c r="B34" s="773"/>
      <c r="C34" s="773"/>
      <c r="D34" s="514"/>
      <c r="E34" s="512"/>
      <c r="F34" s="513"/>
      <c r="G34" s="515"/>
      <c r="H34" s="516"/>
      <c r="I34" s="512"/>
      <c r="J34" s="513"/>
      <c r="K34" s="138"/>
      <c r="L34" s="517"/>
      <c r="M34" s="513"/>
      <c r="N34" s="518"/>
      <c r="O34" s="519"/>
      <c r="Q34" s="513"/>
      <c r="R34" s="138"/>
      <c r="S34" s="517"/>
      <c r="T34" s="513"/>
      <c r="U34" s="517"/>
      <c r="V34" s="513"/>
      <c r="W34" s="512"/>
      <c r="X34" s="513"/>
      <c r="Y34" s="520"/>
      <c r="Z34" s="513"/>
      <c r="AA34" s="520"/>
      <c r="AB34" s="521"/>
      <c r="AC34" s="513"/>
    </row>
    <row r="35" spans="1:29">
      <c r="A35" s="522"/>
      <c r="B35" s="523"/>
      <c r="C35" s="524"/>
      <c r="D35" s="514"/>
      <c r="E35" s="512"/>
      <c r="F35" s="513"/>
      <c r="G35" s="515"/>
      <c r="H35" s="516"/>
      <c r="I35" s="512"/>
      <c r="J35" s="513"/>
      <c r="K35" s="138"/>
      <c r="L35" s="517"/>
      <c r="M35" s="513"/>
      <c r="N35" s="518"/>
      <c r="O35" s="519"/>
      <c r="Q35" s="513"/>
      <c r="R35" s="138"/>
      <c r="S35" s="517"/>
      <c r="T35" s="513"/>
      <c r="U35" s="517"/>
      <c r="V35" s="513"/>
      <c r="W35" s="512"/>
      <c r="X35" s="513"/>
      <c r="Y35" s="520"/>
      <c r="Z35" s="513"/>
      <c r="AA35" s="520"/>
      <c r="AB35" s="521"/>
      <c r="AC35" s="513"/>
    </row>
    <row r="36" spans="1:29">
      <c r="A36" s="731" t="s">
        <v>326</v>
      </c>
      <c r="B36" s="526"/>
      <c r="C36" s="526"/>
      <c r="D36" s="514"/>
      <c r="E36" s="512"/>
      <c r="F36" s="513"/>
      <c r="G36" s="515"/>
      <c r="H36" s="516"/>
      <c r="I36" s="512"/>
      <c r="J36" s="513"/>
      <c r="K36" s="138"/>
      <c r="L36" s="517"/>
      <c r="M36" s="513"/>
      <c r="N36" s="518"/>
      <c r="O36" s="519"/>
      <c r="Q36" s="513"/>
      <c r="R36" s="138"/>
      <c r="S36" s="517"/>
      <c r="T36" s="513"/>
      <c r="U36" s="517"/>
      <c r="V36" s="513"/>
      <c r="W36" s="512"/>
      <c r="X36" s="513"/>
      <c r="Y36" s="520"/>
      <c r="Z36" s="513"/>
      <c r="AA36" s="520"/>
      <c r="AB36" s="521"/>
      <c r="AC36" s="513"/>
    </row>
    <row r="37" spans="1:29">
      <c r="A37" s="522"/>
      <c r="B37" s="526"/>
      <c r="C37" s="526"/>
      <c r="D37" s="514"/>
      <c r="E37" s="514"/>
      <c r="F37" s="514"/>
      <c r="G37" s="514"/>
      <c r="H37" s="516"/>
      <c r="I37" s="512"/>
      <c r="J37" s="513"/>
      <c r="K37" s="138"/>
      <c r="L37" s="517"/>
      <c r="M37" s="513"/>
      <c r="N37" s="518"/>
      <c r="O37" s="519"/>
      <c r="Q37" s="513"/>
      <c r="R37" s="138"/>
      <c r="S37" s="517"/>
      <c r="T37" s="513"/>
      <c r="U37" s="517"/>
      <c r="V37" s="513"/>
      <c r="W37" s="512"/>
      <c r="X37" s="513"/>
      <c r="Y37" s="520"/>
      <c r="Z37" s="513"/>
      <c r="AA37" s="520"/>
      <c r="AB37" s="521"/>
      <c r="AC37" s="513"/>
    </row>
    <row r="38" spans="1:29">
      <c r="A38" s="527"/>
      <c r="B38" s="527"/>
      <c r="C38" s="527"/>
      <c r="D38" s="514"/>
      <c r="E38" s="514"/>
      <c r="F38" s="514"/>
      <c r="G38" s="514"/>
      <c r="H38" s="516"/>
      <c r="I38" s="512"/>
      <c r="J38" s="513"/>
      <c r="K38" s="138"/>
      <c r="L38" s="517"/>
      <c r="M38" s="513"/>
      <c r="N38" s="518"/>
      <c r="O38" s="519"/>
      <c r="Q38" s="513"/>
      <c r="R38" s="138"/>
      <c r="S38" s="517"/>
      <c r="T38" s="513"/>
      <c r="U38" s="517"/>
      <c r="V38" s="513"/>
      <c r="W38" s="512"/>
      <c r="X38" s="513"/>
      <c r="Y38" s="520"/>
      <c r="Z38" s="513"/>
      <c r="AA38" s="520"/>
      <c r="AB38" s="521"/>
      <c r="AC38" s="513"/>
    </row>
    <row r="39" spans="1:29">
      <c r="A39" s="525" t="s">
        <v>241</v>
      </c>
      <c r="B39" s="527"/>
      <c r="C39" s="527"/>
      <c r="D39" s="514"/>
      <c r="E39" s="514"/>
      <c r="F39" s="514"/>
      <c r="G39" s="514"/>
      <c r="H39" s="516"/>
      <c r="I39" s="512"/>
      <c r="J39" s="513"/>
      <c r="K39" s="138"/>
      <c r="L39" s="517"/>
      <c r="M39" s="513"/>
      <c r="N39" s="518"/>
      <c r="O39" s="519"/>
      <c r="Q39" s="513"/>
      <c r="R39" s="138"/>
      <c r="S39" s="517"/>
      <c r="T39" s="513"/>
      <c r="U39" s="517"/>
      <c r="V39" s="513"/>
      <c r="W39" s="512"/>
      <c r="X39" s="513"/>
      <c r="Y39" s="520"/>
      <c r="Z39" s="513"/>
      <c r="AA39" s="520"/>
      <c r="AB39" s="521"/>
      <c r="AC39" s="513"/>
    </row>
    <row r="40" spans="1:29">
      <c r="A40" s="528">
        <v>44926</v>
      </c>
      <c r="B40" s="732">
        <f>B29/B6</f>
        <v>0.31403600346650606</v>
      </c>
      <c r="C40" s="527"/>
      <c r="D40" s="514"/>
      <c r="E40" s="514"/>
      <c r="F40" s="514"/>
      <c r="G40" s="514"/>
      <c r="H40" s="516"/>
      <c r="I40" s="512"/>
      <c r="J40" s="513"/>
      <c r="K40" s="138"/>
      <c r="L40" s="517"/>
      <c r="M40" s="513"/>
      <c r="N40" s="518"/>
      <c r="O40" s="519"/>
      <c r="Q40" s="513"/>
      <c r="R40" s="138"/>
      <c r="S40" s="517"/>
      <c r="T40" s="513"/>
      <c r="U40" s="517"/>
      <c r="V40" s="513"/>
      <c r="W40" s="512"/>
      <c r="X40" s="513"/>
      <c r="Y40" s="520"/>
      <c r="Z40" s="513"/>
      <c r="AA40" s="520"/>
      <c r="AB40" s="521"/>
      <c r="AC40" s="513"/>
    </row>
    <row r="41" spans="1:29">
      <c r="A41" s="528"/>
      <c r="B41" s="732"/>
      <c r="C41" s="527"/>
      <c r="D41" s="514"/>
      <c r="E41" s="514"/>
      <c r="F41" s="514"/>
      <c r="G41" s="514"/>
      <c r="H41" s="516"/>
      <c r="I41" s="512"/>
      <c r="J41" s="513"/>
      <c r="K41" s="138"/>
      <c r="L41" s="517"/>
      <c r="M41" s="513"/>
      <c r="N41" s="518"/>
      <c r="O41" s="519"/>
      <c r="Q41" s="513"/>
      <c r="R41" s="138"/>
      <c r="S41" s="517"/>
      <c r="T41" s="513"/>
      <c r="U41" s="517"/>
      <c r="V41" s="513"/>
      <c r="W41" s="512"/>
      <c r="X41" s="513"/>
      <c r="Y41" s="520"/>
      <c r="Z41" s="513"/>
      <c r="AA41" s="520"/>
      <c r="AB41" s="521"/>
      <c r="AC41" s="513"/>
    </row>
    <row r="42" spans="1:29">
      <c r="A42" s="525" t="s">
        <v>242</v>
      </c>
      <c r="B42" s="733"/>
      <c r="C42" s="527"/>
      <c r="D42" s="514"/>
      <c r="E42" s="514"/>
      <c r="F42" s="514"/>
      <c r="G42" s="514"/>
      <c r="H42" s="516"/>
      <c r="I42" s="512"/>
      <c r="J42" s="513"/>
      <c r="K42" s="138"/>
      <c r="L42" s="517"/>
      <c r="M42" s="513"/>
      <c r="N42" s="518"/>
      <c r="O42" s="519"/>
      <c r="Q42" s="513"/>
      <c r="R42" s="138"/>
      <c r="S42" s="517"/>
      <c r="T42" s="513"/>
      <c r="U42" s="517"/>
      <c r="V42" s="513"/>
      <c r="W42" s="512"/>
      <c r="X42" s="513"/>
      <c r="Y42" s="520"/>
      <c r="Z42" s="513"/>
      <c r="AA42" s="520"/>
      <c r="AB42" s="521"/>
      <c r="AC42" s="513"/>
    </row>
    <row r="43" spans="1:29">
      <c r="A43" s="528">
        <v>44926</v>
      </c>
      <c r="B43" s="732">
        <f>C87/B6</f>
        <v>0.25122880277320486</v>
      </c>
      <c r="C43" s="527"/>
      <c r="D43" s="514"/>
      <c r="E43" s="514"/>
      <c r="F43" s="514"/>
      <c r="G43" s="514"/>
      <c r="H43" s="516"/>
      <c r="I43" s="512"/>
      <c r="J43" s="513"/>
      <c r="K43" s="138"/>
      <c r="L43" s="517"/>
      <c r="M43" s="513"/>
      <c r="N43" s="518"/>
      <c r="O43" s="519"/>
      <c r="Q43" s="513"/>
      <c r="R43" s="138"/>
      <c r="S43" s="517"/>
      <c r="T43" s="513"/>
      <c r="U43" s="517"/>
      <c r="V43" s="513"/>
      <c r="W43" s="512"/>
      <c r="X43" s="513"/>
      <c r="Y43" s="520"/>
      <c r="Z43" s="513"/>
      <c r="AA43" s="520"/>
      <c r="AB43" s="521"/>
      <c r="AC43" s="513"/>
    </row>
    <row r="44" spans="1:29">
      <c r="A44" s="529"/>
      <c r="B44" s="530"/>
      <c r="C44" s="527"/>
      <c r="D44" s="514"/>
      <c r="E44" s="514"/>
      <c r="F44" s="514"/>
      <c r="G44" s="514"/>
      <c r="H44" s="516"/>
      <c r="I44" s="512"/>
      <c r="J44" s="513"/>
      <c r="K44" s="138"/>
      <c r="L44" s="517"/>
      <c r="M44" s="513"/>
      <c r="N44" s="518"/>
      <c r="O44" s="519"/>
      <c r="Q44" s="513"/>
      <c r="R44" s="138"/>
      <c r="S44" s="517"/>
      <c r="T44" s="513"/>
      <c r="U44" s="517"/>
      <c r="V44" s="513"/>
      <c r="W44" s="512"/>
      <c r="X44" s="513"/>
      <c r="Y44" s="520"/>
      <c r="Z44" s="513"/>
      <c r="AA44" s="520"/>
      <c r="AB44" s="521"/>
      <c r="AC44" s="513"/>
    </row>
    <row r="45" spans="1:29">
      <c r="A45" s="525" t="s">
        <v>243</v>
      </c>
      <c r="B45" s="733"/>
      <c r="C45" s="527"/>
      <c r="D45" s="514"/>
      <c r="E45" s="514"/>
      <c r="F45" s="514"/>
      <c r="G45" s="514"/>
      <c r="H45" s="516"/>
      <c r="I45" s="512"/>
      <c r="J45" s="513"/>
      <c r="K45" s="138"/>
      <c r="L45" s="517"/>
      <c r="M45" s="513"/>
      <c r="N45" s="518"/>
      <c r="O45" s="519"/>
      <c r="Q45" s="513"/>
      <c r="R45" s="138"/>
      <c r="S45" s="517"/>
      <c r="T45" s="513"/>
      <c r="U45" s="517"/>
      <c r="V45" s="513"/>
      <c r="W45" s="512"/>
      <c r="X45" s="513"/>
      <c r="Y45" s="520"/>
      <c r="Z45" s="513"/>
      <c r="AA45" s="520"/>
      <c r="AB45" s="521"/>
      <c r="AC45" s="513"/>
    </row>
    <row r="46" spans="1:29">
      <c r="A46" s="528">
        <v>44926</v>
      </c>
      <c r="B46" s="732">
        <f>E87/B6</f>
        <v>6.2807200693301216E-2</v>
      </c>
      <c r="C46" s="527"/>
      <c r="D46" s="514"/>
      <c r="E46" s="514"/>
      <c r="F46" s="514"/>
      <c r="G46" s="514"/>
      <c r="H46" s="516"/>
      <c r="I46" s="512"/>
      <c r="J46" s="513"/>
      <c r="K46" s="138"/>
      <c r="L46" s="517"/>
      <c r="M46" s="513"/>
      <c r="N46" s="518"/>
      <c r="O46" s="519"/>
      <c r="Q46" s="513"/>
      <c r="R46" s="138"/>
      <c r="S46" s="517"/>
      <c r="T46" s="513"/>
      <c r="U46" s="517"/>
      <c r="V46" s="513"/>
      <c r="W46" s="512"/>
      <c r="X46" s="513"/>
      <c r="Y46" s="520"/>
      <c r="Z46" s="513"/>
      <c r="AA46" s="520"/>
      <c r="AB46" s="521"/>
      <c r="AC46" s="513"/>
    </row>
    <row r="47" spans="1:29">
      <c r="A47" s="529"/>
      <c r="B47" s="530"/>
      <c r="C47" s="527"/>
      <c r="D47" s="514"/>
      <c r="E47" s="514"/>
      <c r="F47" s="514"/>
      <c r="G47" s="514"/>
      <c r="H47" s="516"/>
      <c r="I47" s="512"/>
      <c r="J47" s="513"/>
      <c r="K47" s="138"/>
      <c r="L47" s="517"/>
      <c r="M47" s="513"/>
      <c r="N47" s="518"/>
      <c r="O47" s="519"/>
      <c r="Q47" s="513"/>
      <c r="R47" s="138"/>
      <c r="S47" s="517"/>
      <c r="T47" s="513"/>
      <c r="U47" s="517"/>
      <c r="V47" s="513"/>
      <c r="W47" s="512"/>
      <c r="X47" s="513"/>
      <c r="Y47" s="520"/>
      <c r="Z47" s="513"/>
      <c r="AA47" s="520"/>
      <c r="AB47" s="521"/>
      <c r="AC47" s="513"/>
    </row>
    <row r="48" spans="1:29">
      <c r="A48" s="510"/>
      <c r="B48" s="511"/>
      <c r="D48" s="514"/>
      <c r="E48" s="514"/>
      <c r="F48" s="514"/>
      <c r="G48" s="514"/>
      <c r="H48" s="516"/>
      <c r="I48" s="512"/>
      <c r="J48" s="513"/>
      <c r="K48" s="138"/>
      <c r="L48" s="517"/>
      <c r="M48" s="513"/>
      <c r="N48" s="518"/>
      <c r="O48" s="519"/>
      <c r="Q48" s="513"/>
      <c r="R48" s="138"/>
      <c r="S48" s="517"/>
      <c r="T48" s="513"/>
      <c r="U48" s="517"/>
      <c r="V48" s="513"/>
      <c r="W48" s="512"/>
      <c r="X48" s="513"/>
      <c r="Y48" s="520"/>
      <c r="Z48" s="513"/>
      <c r="AA48" s="520"/>
      <c r="AB48" s="521"/>
      <c r="AC48" s="513"/>
    </row>
    <row r="49" spans="1:29" ht="13.8" thickBot="1">
      <c r="A49" s="28"/>
      <c r="B49" s="512"/>
      <c r="C49" s="513"/>
      <c r="D49" s="514"/>
      <c r="E49" s="514"/>
      <c r="F49" s="514"/>
      <c r="G49" s="514"/>
      <c r="H49" s="516"/>
      <c r="I49" s="512"/>
      <c r="J49" s="513"/>
      <c r="K49" s="138"/>
      <c r="L49" s="517"/>
      <c r="M49" s="513"/>
      <c r="N49" s="518"/>
      <c r="O49" s="519"/>
      <c r="Q49" s="513"/>
      <c r="R49" s="138"/>
      <c r="S49" s="517"/>
      <c r="T49" s="513"/>
      <c r="U49" s="517"/>
      <c r="V49" s="513"/>
      <c r="W49" s="512"/>
      <c r="X49" s="513"/>
      <c r="Y49" s="520"/>
      <c r="Z49" s="513"/>
      <c r="AA49" s="520"/>
      <c r="AB49" s="521"/>
      <c r="AC49" s="513"/>
    </row>
    <row r="50" spans="1:29" ht="14.4" thickTop="1" thickBot="1">
      <c r="A50" s="531" t="s">
        <v>317</v>
      </c>
      <c r="B50" s="532" t="s">
        <v>93</v>
      </c>
      <c r="C50" s="533" t="s">
        <v>3</v>
      </c>
      <c r="D50" s="532" t="s">
        <v>244</v>
      </c>
      <c r="E50" s="533" t="s">
        <v>94</v>
      </c>
      <c r="F50" s="533" t="s">
        <v>3</v>
      </c>
      <c r="G50" s="533" t="s">
        <v>95</v>
      </c>
      <c r="H50" s="533" t="s">
        <v>3</v>
      </c>
      <c r="I50" s="532" t="s">
        <v>96</v>
      </c>
      <c r="J50" s="534" t="s">
        <v>3</v>
      </c>
      <c r="K50" s="532" t="s">
        <v>245</v>
      </c>
      <c r="L50" s="533" t="s">
        <v>97</v>
      </c>
      <c r="M50" s="534" t="s">
        <v>3</v>
      </c>
      <c r="N50" s="533" t="s">
        <v>98</v>
      </c>
      <c r="O50" s="534" t="s">
        <v>3</v>
      </c>
      <c r="P50" s="535" t="s">
        <v>99</v>
      </c>
      <c r="Q50" s="533" t="s">
        <v>3</v>
      </c>
      <c r="R50" s="532" t="s">
        <v>246</v>
      </c>
      <c r="S50" s="533" t="s">
        <v>100</v>
      </c>
      <c r="T50" s="533" t="s">
        <v>3</v>
      </c>
      <c r="U50" s="533" t="s">
        <v>101</v>
      </c>
      <c r="V50" s="533" t="s">
        <v>3</v>
      </c>
      <c r="W50" s="533" t="s">
        <v>102</v>
      </c>
      <c r="X50" s="533" t="s">
        <v>3</v>
      </c>
      <c r="Y50" s="533" t="s">
        <v>103</v>
      </c>
      <c r="Z50" s="533" t="s">
        <v>3</v>
      </c>
      <c r="AA50" s="532" t="s">
        <v>104</v>
      </c>
      <c r="AB50" s="534" t="s">
        <v>3</v>
      </c>
      <c r="AC50" s="536" t="s">
        <v>3</v>
      </c>
    </row>
    <row r="51" spans="1:29" ht="13.8" thickTop="1" thickBot="1">
      <c r="A51" s="537" t="s">
        <v>73</v>
      </c>
      <c r="B51" s="583">
        <f>'Scheda Ricavi'!B6</f>
        <v>7267278.7999999998</v>
      </c>
      <c r="C51" s="538">
        <f>B51/B$53</f>
        <v>0.45852357514485942</v>
      </c>
      <c r="D51" s="539">
        <f>B40</f>
        <v>0.31403600346650606</v>
      </c>
      <c r="E51" s="583">
        <f>B4*D51</f>
        <v>2262141.4185020179</v>
      </c>
      <c r="F51" s="540">
        <f>E51/E$53</f>
        <v>0.49925115210163823</v>
      </c>
      <c r="G51" s="583">
        <f>B4</f>
        <v>7203446.0811219998</v>
      </c>
      <c r="H51" s="540">
        <f>G51/G$53</f>
        <v>0.49925115210163828</v>
      </c>
      <c r="I51" s="583">
        <f>E51+G51</f>
        <v>9465587.4996240176</v>
      </c>
      <c r="J51" s="538">
        <f>I51/I$53</f>
        <v>0.49925115210163823</v>
      </c>
      <c r="K51" s="541">
        <f>B43</f>
        <v>0.25122880277320486</v>
      </c>
      <c r="L51" s="583">
        <f>B4*K51</f>
        <v>1809713.1348016143</v>
      </c>
      <c r="M51" s="542">
        <f>L51/L$53</f>
        <v>0.49925115210163823</v>
      </c>
      <c r="N51" s="583">
        <f>C62</f>
        <v>1440689.2162244001</v>
      </c>
      <c r="O51" s="538">
        <f>N51/N$53</f>
        <v>0.49925115210163828</v>
      </c>
      <c r="P51" s="583">
        <f>L51+N51</f>
        <v>3250402.3510260144</v>
      </c>
      <c r="Q51" s="538">
        <f>P51/P$53</f>
        <v>0.49925115210163823</v>
      </c>
      <c r="R51" s="541">
        <f>B46</f>
        <v>6.2807200693301216E-2</v>
      </c>
      <c r="S51" s="586">
        <f>B4*R51</f>
        <v>452428.28370040358</v>
      </c>
      <c r="T51" s="544">
        <f>S51/S$53</f>
        <v>0.49925115210163823</v>
      </c>
      <c r="U51" s="586">
        <f>E62</f>
        <v>5762756.8648976004</v>
      </c>
      <c r="V51" s="544">
        <f>U51/U$53</f>
        <v>0.49925115210163828</v>
      </c>
      <c r="W51" s="586">
        <f>S51+U51</f>
        <v>6215185.1485980041</v>
      </c>
      <c r="X51" s="544">
        <f>W51/W$53</f>
        <v>0.49925115210163828</v>
      </c>
      <c r="Y51" s="586">
        <f>B51-W51</f>
        <v>1052093.6514019957</v>
      </c>
      <c r="Z51" s="544">
        <f>Y51/Y$53</f>
        <v>0.30941316699355403</v>
      </c>
      <c r="AA51" s="586">
        <f>Y51-P51</f>
        <v>-2198308.6996240187</v>
      </c>
      <c r="AB51" s="543" t="e">
        <f>AA51/#REF!</f>
        <v>#REF!</v>
      </c>
      <c r="AC51" s="544">
        <f>AA51/AA$53</f>
        <v>0.7067907041509609</v>
      </c>
    </row>
    <row r="52" spans="1:29" ht="13.8" thickTop="1" thickBot="1">
      <c r="A52" s="537" t="s">
        <v>69</v>
      </c>
      <c r="B52" s="583">
        <f>'Scheda Ricavi'!B10</f>
        <v>8582023.5999999996</v>
      </c>
      <c r="C52" s="538">
        <f>B52/B$53</f>
        <v>0.54147642485514069</v>
      </c>
      <c r="D52" s="539">
        <f>B40</f>
        <v>0.31403600346650606</v>
      </c>
      <c r="E52" s="583">
        <f>B5*D52</f>
        <v>2268927.5814979821</v>
      </c>
      <c r="F52" s="540">
        <f>E52/E$53</f>
        <v>0.50074884789836172</v>
      </c>
      <c r="G52" s="583">
        <f>B5</f>
        <v>7225055.5874239998</v>
      </c>
      <c r="H52" s="540">
        <f>G52/G$53</f>
        <v>0.50074884789836183</v>
      </c>
      <c r="I52" s="583">
        <f>E52+G52</f>
        <v>9493983.168921981</v>
      </c>
      <c r="J52" s="538">
        <f>I52/I$53</f>
        <v>0.50074884789836172</v>
      </c>
      <c r="K52" s="541">
        <f>B43</f>
        <v>0.25122880277320486</v>
      </c>
      <c r="L52" s="583">
        <f>B5*K52</f>
        <v>1815142.0651983859</v>
      </c>
      <c r="M52" s="542">
        <f>L52/L$53</f>
        <v>0.50074884789836183</v>
      </c>
      <c r="N52" s="583">
        <f>C63</f>
        <v>1445011.1174848001</v>
      </c>
      <c r="O52" s="538">
        <f>N52/N$53</f>
        <v>0.50074884789836183</v>
      </c>
      <c r="P52" s="583">
        <f>L52+N52</f>
        <v>3260153.1826831857</v>
      </c>
      <c r="Q52" s="538">
        <f>P52/P$53</f>
        <v>0.50074884789836172</v>
      </c>
      <c r="R52" s="541">
        <f>B46</f>
        <v>6.2807200693301216E-2</v>
      </c>
      <c r="S52" s="586">
        <f>B5*R52</f>
        <v>453785.51629959646</v>
      </c>
      <c r="T52" s="544">
        <f>S52/S$53</f>
        <v>0.50074884789836183</v>
      </c>
      <c r="U52" s="586">
        <f>E63</f>
        <v>5780044.4699392002</v>
      </c>
      <c r="V52" s="544">
        <f>U52/U$53</f>
        <v>0.50074884789836183</v>
      </c>
      <c r="W52" s="586">
        <f>S52+U52</f>
        <v>6233829.9862387963</v>
      </c>
      <c r="X52" s="544">
        <f>W52/W$53</f>
        <v>0.50074884789836172</v>
      </c>
      <c r="Y52" s="586">
        <f>B52-W52</f>
        <v>2348193.6137612034</v>
      </c>
      <c r="Z52" s="544">
        <f>Y52/Y$53</f>
        <v>0.6905868330064463</v>
      </c>
      <c r="AA52" s="586">
        <f>Y52-P52</f>
        <v>-911959.56892198231</v>
      </c>
      <c r="AB52" s="543" t="e">
        <f>AA52/#REF!</f>
        <v>#REF!</v>
      </c>
      <c r="AC52" s="544">
        <f>AA52/AA$53</f>
        <v>0.29320929584903876</v>
      </c>
    </row>
    <row r="53" spans="1:29" ht="14.4" thickTop="1" thickBot="1">
      <c r="A53" s="545" t="s">
        <v>191</v>
      </c>
      <c r="B53" s="584">
        <f>SUM(B51:B52)</f>
        <v>15849302.399999999</v>
      </c>
      <c r="C53" s="585">
        <f>B53/B$53</f>
        <v>1</v>
      </c>
      <c r="D53" s="546"/>
      <c r="E53" s="584">
        <f>SUM(E51:E52)</f>
        <v>4531069</v>
      </c>
      <c r="F53" s="540">
        <f>E53/E$53</f>
        <v>1</v>
      </c>
      <c r="G53" s="584">
        <f>SUM(G51:G52)</f>
        <v>14428501.668545999</v>
      </c>
      <c r="H53" s="540">
        <f>G53/G$53</f>
        <v>1</v>
      </c>
      <c r="I53" s="584">
        <f>I51+I52</f>
        <v>18959570.668545999</v>
      </c>
      <c r="J53" s="538">
        <f>I53/I$53</f>
        <v>1</v>
      </c>
      <c r="K53" s="547"/>
      <c r="L53" s="584">
        <f>SUM(L51:L52)</f>
        <v>3624855.2</v>
      </c>
      <c r="M53" s="542">
        <f>L53/L$53</f>
        <v>1</v>
      </c>
      <c r="N53" s="584">
        <f>SUM(N51:N52)</f>
        <v>2885700.3337091999</v>
      </c>
      <c r="O53" s="538">
        <f>N53/N$53</f>
        <v>1</v>
      </c>
      <c r="P53" s="584">
        <f>P51+P52</f>
        <v>6510555.5337092001</v>
      </c>
      <c r="Q53" s="538">
        <f>P53/P$53</f>
        <v>1</v>
      </c>
      <c r="R53" s="548"/>
      <c r="S53" s="587">
        <f>SUM(S51:S52)</f>
        <v>906213.8</v>
      </c>
      <c r="T53" s="588">
        <f>S53/S$53</f>
        <v>1</v>
      </c>
      <c r="U53" s="587">
        <f>SUM(U51:U52)</f>
        <v>11542801.3348368</v>
      </c>
      <c r="V53" s="588">
        <f>U53/U$53</f>
        <v>1</v>
      </c>
      <c r="W53" s="587">
        <f>S53+U53</f>
        <v>12449015.1348368</v>
      </c>
      <c r="X53" s="588">
        <f>W53/W$53</f>
        <v>1</v>
      </c>
      <c r="Y53" s="587">
        <f>B53-W53</f>
        <v>3400287.2651631981</v>
      </c>
      <c r="Z53" s="588">
        <f>Y53/Y$53</f>
        <v>1</v>
      </c>
      <c r="AA53" s="587">
        <f>Y53-P53</f>
        <v>-3110268.268546002</v>
      </c>
      <c r="AB53" s="549" t="e">
        <f>AA53/#REF!</f>
        <v>#REF!</v>
      </c>
      <c r="AC53" s="588">
        <f>AA53/AA$53</f>
        <v>1</v>
      </c>
    </row>
    <row r="54" spans="1:29" ht="14.4" thickTop="1" thickBot="1">
      <c r="A54" s="550"/>
      <c r="B54" s="551"/>
      <c r="C54" s="552"/>
      <c r="D54" s="553"/>
      <c r="E54" s="551"/>
      <c r="F54" s="555"/>
      <c r="G54" s="551"/>
      <c r="H54" s="555"/>
      <c r="I54" s="554"/>
      <c r="J54" s="552"/>
      <c r="K54" s="556"/>
      <c r="L54" s="557"/>
      <c r="M54" s="558"/>
      <c r="N54" s="557"/>
      <c r="O54" s="558"/>
      <c r="P54" s="559"/>
      <c r="Q54" s="558"/>
      <c r="R54" s="556"/>
      <c r="S54" s="557"/>
      <c r="T54" s="558"/>
      <c r="U54" s="557"/>
      <c r="V54" s="552"/>
      <c r="W54" s="551"/>
      <c r="X54" s="552"/>
      <c r="Y54" s="560"/>
      <c r="Z54" s="552"/>
      <c r="AA54" s="560"/>
      <c r="AB54" s="552"/>
      <c r="AC54" s="552"/>
    </row>
    <row r="55" spans="1:29" ht="13.8" thickTop="1">
      <c r="A55" s="28"/>
      <c r="B55" s="512"/>
      <c r="C55" s="513"/>
      <c r="D55" s="514"/>
      <c r="E55" s="514"/>
      <c r="F55" s="514"/>
      <c r="G55" s="514"/>
      <c r="H55" s="516"/>
      <c r="I55" s="512"/>
      <c r="J55" s="513"/>
      <c r="K55" s="138"/>
      <c r="L55" s="517"/>
      <c r="M55" s="513"/>
      <c r="N55" s="518"/>
      <c r="O55" s="519"/>
      <c r="Q55" s="513"/>
      <c r="R55" s="138"/>
      <c r="S55" s="517"/>
      <c r="T55" s="513"/>
      <c r="U55" s="517"/>
      <c r="V55" s="513"/>
      <c r="W55" s="512"/>
      <c r="X55" s="513"/>
      <c r="Y55" s="520"/>
      <c r="Z55" s="513"/>
      <c r="AA55" s="520"/>
      <c r="AB55" s="521"/>
      <c r="AC55" s="513"/>
    </row>
    <row r="56" spans="1:29">
      <c r="A56" s="28"/>
      <c r="B56" s="512"/>
      <c r="C56" s="513"/>
      <c r="D56" s="514"/>
      <c r="E56" s="514"/>
      <c r="F56" s="514"/>
      <c r="G56" s="514"/>
      <c r="H56" s="516"/>
      <c r="I56" s="512"/>
      <c r="J56" s="513"/>
      <c r="K56" s="138"/>
      <c r="L56" s="517"/>
      <c r="M56" s="513"/>
      <c r="N56" s="518"/>
      <c r="O56" s="519"/>
      <c r="Q56" s="513"/>
      <c r="R56" s="138"/>
      <c r="S56" s="517"/>
      <c r="T56" s="513"/>
      <c r="U56" s="517"/>
      <c r="V56" s="513"/>
      <c r="W56" s="512"/>
      <c r="X56" s="513"/>
      <c r="Y56" s="520"/>
      <c r="Z56" s="513"/>
      <c r="AA56" s="520"/>
      <c r="AB56" s="521"/>
      <c r="AC56" s="513"/>
    </row>
    <row r="57" spans="1:29">
      <c r="A57" s="28"/>
      <c r="B57" s="512"/>
      <c r="C57" s="513"/>
      <c r="D57" s="514"/>
      <c r="E57" s="514"/>
      <c r="F57" s="514"/>
      <c r="G57" s="514"/>
      <c r="H57" s="516"/>
      <c r="I57" s="512"/>
      <c r="J57" s="513"/>
      <c r="K57" s="138"/>
      <c r="L57" s="517"/>
      <c r="M57" s="513"/>
      <c r="N57" s="518"/>
      <c r="O57" s="519"/>
      <c r="Q57" s="513"/>
      <c r="R57" s="138"/>
      <c r="S57" s="517"/>
      <c r="T57" s="513"/>
      <c r="U57" s="517"/>
      <c r="V57" s="513"/>
      <c r="W57" s="512"/>
      <c r="X57" s="513"/>
      <c r="Y57" s="520"/>
      <c r="Z57" s="513"/>
      <c r="AA57" s="520"/>
      <c r="AB57" s="521"/>
      <c r="AC57" s="513"/>
    </row>
    <row r="58" spans="1:29">
      <c r="A58" s="28"/>
      <c r="B58" s="512"/>
      <c r="C58" s="513"/>
      <c r="D58" s="514"/>
      <c r="E58" s="514"/>
      <c r="F58" s="514"/>
      <c r="G58" s="514"/>
      <c r="H58" s="516"/>
      <c r="I58" s="512"/>
      <c r="J58" s="513"/>
      <c r="K58" s="138"/>
      <c r="L58" s="517"/>
      <c r="M58" s="513"/>
      <c r="N58" s="518"/>
      <c r="O58" s="519"/>
      <c r="Q58" s="103"/>
      <c r="R58" s="138"/>
      <c r="S58" s="517"/>
      <c r="T58" s="513"/>
      <c r="U58" s="517"/>
      <c r="V58" s="513"/>
      <c r="W58" s="512"/>
      <c r="X58" s="513"/>
      <c r="Y58" s="520"/>
      <c r="Z58" s="513"/>
      <c r="AA58" s="520"/>
      <c r="AB58" s="521"/>
      <c r="AC58" s="513"/>
    </row>
    <row r="59" spans="1:29">
      <c r="A59" s="28"/>
      <c r="B59" s="512"/>
      <c r="C59" s="513"/>
      <c r="D59" s="514"/>
      <c r="E59" s="514"/>
      <c r="F59" s="514"/>
      <c r="G59" s="514"/>
      <c r="H59" s="516"/>
      <c r="I59" s="512"/>
      <c r="J59" s="513"/>
      <c r="K59" s="138"/>
      <c r="L59" s="517"/>
      <c r="M59" s="513"/>
      <c r="N59" s="518"/>
      <c r="O59" s="519"/>
      <c r="Q59" s="513"/>
      <c r="R59" s="138"/>
      <c r="S59" s="517"/>
      <c r="T59" s="513"/>
      <c r="U59" s="517"/>
      <c r="V59" s="513"/>
      <c r="W59" s="512"/>
      <c r="X59" s="513"/>
      <c r="Y59" s="520"/>
      <c r="Z59" s="513"/>
      <c r="AA59" s="520"/>
      <c r="AB59" s="521"/>
      <c r="AC59" s="513"/>
    </row>
    <row r="60" spans="1:29" ht="13.8" thickBot="1">
      <c r="A60" s="28"/>
      <c r="B60" s="512"/>
      <c r="C60" s="513"/>
      <c r="D60" s="514"/>
      <c r="E60" s="514"/>
      <c r="F60" s="514"/>
      <c r="G60" s="514"/>
      <c r="H60" s="516"/>
      <c r="I60" s="512"/>
      <c r="J60" s="513"/>
      <c r="K60" s="138"/>
      <c r="L60" s="517"/>
      <c r="M60" s="513"/>
      <c r="N60" s="518"/>
      <c r="O60" s="519"/>
      <c r="Q60" s="513"/>
      <c r="R60" s="138"/>
      <c r="S60" s="517"/>
      <c r="T60" s="513"/>
      <c r="U60" s="517"/>
      <c r="V60" s="513"/>
      <c r="W60" s="512"/>
      <c r="X60" s="513"/>
      <c r="Y60" s="520"/>
      <c r="Z60" s="513"/>
      <c r="AA60" s="520"/>
      <c r="AB60" s="521"/>
      <c r="AC60" s="513"/>
    </row>
    <row r="61" spans="1:29" ht="14.4" thickTop="1" thickBot="1">
      <c r="A61" s="28" t="s">
        <v>299</v>
      </c>
      <c r="B61" s="589" t="s">
        <v>293</v>
      </c>
      <c r="C61" s="590" t="s">
        <v>294</v>
      </c>
      <c r="D61" s="561" t="s">
        <v>3</v>
      </c>
      <c r="E61" s="590" t="s">
        <v>295</v>
      </c>
      <c r="F61" s="561" t="s">
        <v>3</v>
      </c>
      <c r="G61" s="515"/>
      <c r="H61" s="516"/>
      <c r="I61" s="512"/>
      <c r="J61" s="513"/>
      <c r="K61" s="138"/>
      <c r="L61" s="517"/>
      <c r="M61" s="513"/>
      <c r="N61" s="518"/>
      <c r="O61" s="519"/>
      <c r="Q61" s="513"/>
      <c r="R61" s="138"/>
      <c r="S61" s="517"/>
      <c r="T61" s="513"/>
      <c r="U61" s="517"/>
      <c r="V61" s="513"/>
      <c r="W61" s="512"/>
      <c r="X61" s="513"/>
      <c r="Y61" s="520"/>
      <c r="Z61" s="513"/>
      <c r="AA61" s="520"/>
      <c r="AB61" s="521"/>
      <c r="AC61" s="513"/>
    </row>
    <row r="62" spans="1:29" ht="14.4" thickTop="1" thickBot="1">
      <c r="A62" s="58" t="s">
        <v>73</v>
      </c>
      <c r="B62" s="591">
        <f>B4</f>
        <v>7203446.0811219998</v>
      </c>
      <c r="C62" s="591">
        <f>B62*D62</f>
        <v>1440689.2162244001</v>
      </c>
      <c r="D62" s="562">
        <f>INPUT!B130</f>
        <v>0.2</v>
      </c>
      <c r="E62" s="591">
        <f>B62*F62</f>
        <v>5762756.8648976004</v>
      </c>
      <c r="F62" s="562">
        <f>INPUT!C130</f>
        <v>0.8</v>
      </c>
      <c r="G62" s="515"/>
      <c r="H62" s="516"/>
      <c r="I62" s="512"/>
      <c r="J62" s="513"/>
      <c r="K62" s="138"/>
      <c r="L62" s="517"/>
      <c r="M62" s="513"/>
      <c r="N62" s="518"/>
      <c r="O62" s="519"/>
      <c r="Q62" s="513"/>
      <c r="R62" s="138"/>
      <c r="S62" s="517"/>
      <c r="T62" s="513"/>
      <c r="U62" s="517"/>
      <c r="V62" s="513"/>
      <c r="W62" s="512"/>
      <c r="X62" s="513"/>
      <c r="Y62" s="520"/>
      <c r="Z62" s="513"/>
      <c r="AA62" s="520"/>
      <c r="AB62" s="521"/>
      <c r="AC62" s="513"/>
    </row>
    <row r="63" spans="1:29" ht="14.4" thickTop="1" thickBot="1">
      <c r="A63" s="58" t="s">
        <v>69</v>
      </c>
      <c r="B63" s="591">
        <f>B5</f>
        <v>7225055.5874239998</v>
      </c>
      <c r="C63" s="591">
        <f>B63*D63</f>
        <v>1445011.1174848001</v>
      </c>
      <c r="D63" s="562">
        <f>INPUT!B131</f>
        <v>0.2</v>
      </c>
      <c r="E63" s="591">
        <f>B63*F63</f>
        <v>5780044.4699392002</v>
      </c>
      <c r="F63" s="562">
        <f>INPUT!C131</f>
        <v>0.8</v>
      </c>
      <c r="G63" s="515"/>
      <c r="H63" s="516"/>
      <c r="I63" s="512"/>
      <c r="J63" s="513"/>
      <c r="K63" s="138"/>
      <c r="L63" s="517"/>
      <c r="M63" s="513"/>
      <c r="N63" s="518"/>
      <c r="O63" s="519"/>
      <c r="Q63" s="513"/>
      <c r="R63" s="138"/>
      <c r="S63" s="517"/>
      <c r="T63" s="513"/>
      <c r="U63" s="517"/>
      <c r="V63" s="513"/>
      <c r="W63" s="512"/>
      <c r="X63" s="513"/>
      <c r="Y63" s="520"/>
      <c r="Z63" s="513"/>
      <c r="AA63" s="520"/>
      <c r="AB63" s="521"/>
      <c r="AC63" s="513"/>
    </row>
    <row r="64" spans="1:29" ht="14.4" thickTop="1" thickBot="1">
      <c r="A64" s="394" t="s">
        <v>2</v>
      </c>
      <c r="B64" s="592">
        <f>SUM(B62:B63)</f>
        <v>14428501.668545999</v>
      </c>
      <c r="C64" s="592">
        <f>SUM(C62:C63)</f>
        <v>2885700.3337091999</v>
      </c>
      <c r="D64" s="563"/>
      <c r="E64" s="592">
        <f>SUM(E62:E63)</f>
        <v>11542801.3348368</v>
      </c>
      <c r="F64" s="563"/>
      <c r="G64" s="515"/>
      <c r="H64" s="516"/>
      <c r="I64" s="512"/>
      <c r="J64" s="513"/>
      <c r="K64" s="138"/>
      <c r="L64" s="517"/>
      <c r="M64" s="513"/>
      <c r="N64" s="518"/>
      <c r="O64" s="519"/>
      <c r="Q64" s="513"/>
      <c r="R64" s="138"/>
      <c r="S64" s="517"/>
      <c r="T64" s="513"/>
      <c r="U64" s="517"/>
      <c r="V64" s="513"/>
      <c r="W64" s="512"/>
      <c r="X64" s="513"/>
      <c r="Y64" s="520"/>
      <c r="Z64" s="513"/>
      <c r="AA64" s="520"/>
      <c r="AB64" s="521"/>
      <c r="AC64" s="513"/>
    </row>
    <row r="65" spans="1:29" ht="14.4" thickTop="1" thickBot="1">
      <c r="B65" s="565"/>
      <c r="C65" s="566"/>
      <c r="D65" s="567"/>
      <c r="E65" s="566"/>
      <c r="F65" s="567"/>
      <c r="G65" s="515"/>
      <c r="H65" s="516"/>
      <c r="I65" s="512"/>
      <c r="J65" s="513"/>
      <c r="K65" s="138"/>
      <c r="L65" s="517"/>
      <c r="M65" s="513"/>
      <c r="N65" s="518"/>
      <c r="O65" s="519"/>
      <c r="Q65" s="513"/>
      <c r="R65" s="138"/>
      <c r="S65" s="517"/>
      <c r="T65" s="513"/>
      <c r="U65" s="517"/>
      <c r="V65" s="513"/>
      <c r="W65" s="512"/>
      <c r="X65" s="513"/>
      <c r="Y65" s="520"/>
      <c r="Z65" s="513"/>
      <c r="AA65" s="520"/>
      <c r="AB65" s="521"/>
      <c r="AC65" s="513"/>
    </row>
    <row r="66" spans="1:29" ht="13.8" thickTop="1">
      <c r="A66" s="28" t="s">
        <v>300</v>
      </c>
      <c r="B66" s="595" t="s">
        <v>296</v>
      </c>
      <c r="C66" s="595" t="s">
        <v>297</v>
      </c>
      <c r="D66" s="571" t="s">
        <v>3</v>
      </c>
      <c r="E66" s="595" t="s">
        <v>298</v>
      </c>
      <c r="F66" s="573" t="s">
        <v>3</v>
      </c>
      <c r="G66" s="515"/>
      <c r="H66" s="516"/>
      <c r="I66" s="512"/>
      <c r="J66" s="513"/>
      <c r="K66" s="138"/>
      <c r="L66" s="517"/>
      <c r="M66" s="513"/>
      <c r="N66" s="518"/>
      <c r="O66" s="519"/>
      <c r="Q66" s="513"/>
      <c r="R66" s="138"/>
      <c r="S66" s="517"/>
      <c r="T66" s="513"/>
      <c r="U66" s="517"/>
      <c r="V66" s="513"/>
      <c r="W66" s="512"/>
      <c r="X66" s="513"/>
      <c r="Y66" s="520"/>
      <c r="Z66" s="513"/>
      <c r="AA66" s="520"/>
      <c r="AB66" s="521"/>
      <c r="AC66" s="513"/>
    </row>
    <row r="67" spans="1:29" ht="13.8" thickBot="1">
      <c r="A67" s="527" t="s">
        <v>82</v>
      </c>
      <c r="B67" s="593">
        <f t="shared" ref="B67:B86" si="1">B9</f>
        <v>1572337</v>
      </c>
      <c r="C67" s="593">
        <f>B67*D67</f>
        <v>1257869.6000000001</v>
      </c>
      <c r="D67" s="574">
        <f>INPUT!B134</f>
        <v>0.8</v>
      </c>
      <c r="E67" s="593">
        <f t="shared" ref="E67:E86" si="2">F67*B67</f>
        <v>314467.40000000002</v>
      </c>
      <c r="F67" s="575">
        <f>INPUT!C134</f>
        <v>0.2</v>
      </c>
      <c r="G67" s="515"/>
      <c r="H67" s="516"/>
      <c r="I67" s="512"/>
      <c r="J67" s="513"/>
      <c r="K67" s="138"/>
      <c r="L67" s="517"/>
      <c r="M67" s="513"/>
      <c r="N67" s="518"/>
      <c r="O67" s="519"/>
      <c r="Q67" s="513"/>
      <c r="R67" s="138"/>
      <c r="S67" s="517"/>
      <c r="T67" s="513"/>
      <c r="U67" s="517"/>
      <c r="V67" s="513"/>
      <c r="W67" s="512"/>
      <c r="X67" s="513"/>
      <c r="Y67" s="520"/>
      <c r="Z67" s="513"/>
      <c r="AA67" s="520"/>
      <c r="AB67" s="521"/>
      <c r="AC67" s="513"/>
    </row>
    <row r="68" spans="1:29" ht="14.4" thickTop="1" thickBot="1">
      <c r="A68" s="527" t="s">
        <v>83</v>
      </c>
      <c r="B68" s="593">
        <f t="shared" si="1"/>
        <v>57510</v>
      </c>
      <c r="C68" s="593">
        <f t="shared" ref="C68:C86" si="3">D68*B68</f>
        <v>46008</v>
      </c>
      <c r="D68" s="574">
        <f>INPUT!B135</f>
        <v>0.8</v>
      </c>
      <c r="E68" s="593">
        <f t="shared" si="2"/>
        <v>11502</v>
      </c>
      <c r="F68" s="575">
        <f>INPUT!C135</f>
        <v>0.2</v>
      </c>
      <c r="G68" s="515"/>
      <c r="H68" s="516"/>
      <c r="I68" s="512"/>
      <c r="J68" s="513"/>
      <c r="K68" s="138"/>
      <c r="L68" s="517"/>
      <c r="M68" s="513"/>
      <c r="N68" s="518"/>
      <c r="O68" s="519"/>
      <c r="Q68" s="513"/>
      <c r="R68" s="138"/>
      <c r="S68" s="517"/>
      <c r="T68" s="513"/>
      <c r="U68" s="517"/>
      <c r="V68" s="513"/>
      <c r="W68" s="512"/>
      <c r="X68" s="513"/>
      <c r="Y68" s="520"/>
      <c r="Z68" s="513"/>
      <c r="AA68" s="520"/>
      <c r="AB68" s="521"/>
      <c r="AC68" s="513"/>
    </row>
    <row r="69" spans="1:29" ht="14.4" thickTop="1" thickBot="1">
      <c r="A69" s="527" t="s">
        <v>129</v>
      </c>
      <c r="B69" s="593">
        <f t="shared" si="1"/>
        <v>110100</v>
      </c>
      <c r="C69" s="593">
        <f t="shared" si="3"/>
        <v>88080</v>
      </c>
      <c r="D69" s="574">
        <f>INPUT!B136</f>
        <v>0.8</v>
      </c>
      <c r="E69" s="593">
        <f t="shared" si="2"/>
        <v>22020</v>
      </c>
      <c r="F69" s="575">
        <f>INPUT!C136</f>
        <v>0.2</v>
      </c>
      <c r="G69" s="515"/>
      <c r="H69" s="516"/>
      <c r="I69" s="512"/>
      <c r="J69" s="513"/>
      <c r="K69" s="138"/>
      <c r="L69" s="517"/>
      <c r="M69" s="513"/>
      <c r="N69" s="518"/>
      <c r="O69" s="519"/>
      <c r="Q69" s="513"/>
      <c r="R69" s="138"/>
      <c r="S69" s="517"/>
      <c r="T69" s="513"/>
      <c r="U69" s="517"/>
      <c r="V69" s="513"/>
      <c r="W69" s="512"/>
      <c r="X69" s="513"/>
      <c r="Y69" s="520"/>
      <c r="Z69" s="513"/>
      <c r="AA69" s="520"/>
      <c r="AB69" s="521"/>
      <c r="AC69" s="513"/>
    </row>
    <row r="70" spans="1:29" ht="14.4" thickTop="1" thickBot="1">
      <c r="A70" s="527" t="s">
        <v>130</v>
      </c>
      <c r="B70" s="593">
        <f t="shared" si="1"/>
        <v>115978</v>
      </c>
      <c r="C70" s="593">
        <f t="shared" si="3"/>
        <v>92782.400000000009</v>
      </c>
      <c r="D70" s="574">
        <f>INPUT!B137</f>
        <v>0.8</v>
      </c>
      <c r="E70" s="593">
        <f t="shared" si="2"/>
        <v>23195.600000000002</v>
      </c>
      <c r="F70" s="575">
        <f>INPUT!C137</f>
        <v>0.2</v>
      </c>
      <c r="G70" s="515"/>
      <c r="H70" s="516"/>
      <c r="I70" s="512"/>
      <c r="J70" s="513"/>
      <c r="K70" s="138"/>
      <c r="L70" s="517"/>
      <c r="M70" s="513"/>
      <c r="N70" s="518"/>
      <c r="O70" s="519"/>
      <c r="Q70" s="513"/>
      <c r="R70" s="138"/>
      <c r="S70" s="517"/>
      <c r="T70" s="513"/>
      <c r="U70" s="517"/>
      <c r="V70" s="513"/>
      <c r="W70" s="512"/>
      <c r="X70" s="513"/>
      <c r="Y70" s="520"/>
      <c r="Z70" s="513"/>
      <c r="AA70" s="520"/>
      <c r="AB70" s="521"/>
      <c r="AC70" s="513"/>
    </row>
    <row r="71" spans="1:29" ht="14.4" thickTop="1" thickBot="1">
      <c r="A71" s="527" t="s">
        <v>131</v>
      </c>
      <c r="B71" s="593">
        <f t="shared" si="1"/>
        <v>65300</v>
      </c>
      <c r="C71" s="593">
        <f t="shared" si="3"/>
        <v>52240</v>
      </c>
      <c r="D71" s="574">
        <f>INPUT!B138</f>
        <v>0.8</v>
      </c>
      <c r="E71" s="593">
        <f t="shared" si="2"/>
        <v>13060</v>
      </c>
      <c r="F71" s="575">
        <f>INPUT!C138</f>
        <v>0.2</v>
      </c>
      <c r="G71" s="515"/>
      <c r="H71" s="516"/>
      <c r="I71" s="512"/>
      <c r="J71" s="513"/>
      <c r="K71" s="138"/>
      <c r="L71" s="517"/>
      <c r="M71" s="513"/>
      <c r="N71" s="518"/>
      <c r="O71" s="519"/>
      <c r="Q71" s="513"/>
      <c r="R71" s="138"/>
      <c r="S71" s="517"/>
      <c r="T71" s="513"/>
      <c r="U71" s="517"/>
      <c r="V71" s="513"/>
      <c r="W71" s="512"/>
      <c r="X71" s="513"/>
      <c r="Y71" s="520"/>
      <c r="Z71" s="513"/>
      <c r="AA71" s="520"/>
      <c r="AB71" s="521"/>
      <c r="AC71" s="513"/>
    </row>
    <row r="72" spans="1:29" ht="14.4" thickTop="1" thickBot="1">
      <c r="A72" s="527" t="s">
        <v>84</v>
      </c>
      <c r="B72" s="593">
        <f t="shared" si="1"/>
        <v>65300</v>
      </c>
      <c r="C72" s="593">
        <f t="shared" si="3"/>
        <v>52240</v>
      </c>
      <c r="D72" s="574">
        <f>INPUT!B139</f>
        <v>0.8</v>
      </c>
      <c r="E72" s="593">
        <f t="shared" si="2"/>
        <v>13060</v>
      </c>
      <c r="F72" s="575">
        <f>INPUT!C139</f>
        <v>0.2</v>
      </c>
      <c r="G72" s="515"/>
      <c r="H72" s="516"/>
      <c r="I72" s="512"/>
      <c r="J72" s="513"/>
      <c r="K72" s="138"/>
      <c r="L72" s="517"/>
      <c r="M72" s="513"/>
      <c r="N72" s="518"/>
      <c r="O72" s="519"/>
      <c r="Q72" s="513"/>
      <c r="R72" s="138"/>
      <c r="S72" s="517"/>
      <c r="T72" s="513"/>
      <c r="U72" s="517"/>
      <c r="V72" s="513"/>
      <c r="W72" s="512"/>
      <c r="X72" s="513"/>
      <c r="Y72" s="520"/>
      <c r="Z72" s="513"/>
      <c r="AA72" s="520"/>
      <c r="AB72" s="521"/>
      <c r="AC72" s="513"/>
    </row>
    <row r="73" spans="1:29" ht="14.4" thickTop="1" thickBot="1">
      <c r="A73" s="527" t="s">
        <v>132</v>
      </c>
      <c r="B73" s="593">
        <f t="shared" si="1"/>
        <v>75500</v>
      </c>
      <c r="C73" s="593">
        <f t="shared" si="3"/>
        <v>60400</v>
      </c>
      <c r="D73" s="574">
        <f>INPUT!B140</f>
        <v>0.8</v>
      </c>
      <c r="E73" s="593">
        <f t="shared" si="2"/>
        <v>15100</v>
      </c>
      <c r="F73" s="575">
        <f>INPUT!C140</f>
        <v>0.2</v>
      </c>
      <c r="G73" s="515"/>
      <c r="H73" s="516"/>
      <c r="I73" s="512"/>
      <c r="J73" s="513"/>
      <c r="K73" s="138"/>
      <c r="L73" s="517"/>
      <c r="M73" s="513"/>
      <c r="N73" s="518"/>
      <c r="O73" s="519"/>
      <c r="Q73" s="513"/>
      <c r="R73" s="138"/>
      <c r="S73" s="517"/>
      <c r="T73" s="513"/>
      <c r="U73" s="517"/>
      <c r="V73" s="513"/>
      <c r="W73" s="512"/>
      <c r="X73" s="513"/>
      <c r="Y73" s="520"/>
      <c r="Z73" s="513"/>
      <c r="AA73" s="520"/>
      <c r="AB73" s="521"/>
      <c r="AC73" s="513"/>
    </row>
    <row r="74" spans="1:29" ht="14.4" thickTop="1" thickBot="1">
      <c r="A74" s="527" t="s">
        <v>133</v>
      </c>
      <c r="B74" s="593">
        <f t="shared" si="1"/>
        <v>132900</v>
      </c>
      <c r="C74" s="593">
        <f t="shared" si="3"/>
        <v>106320</v>
      </c>
      <c r="D74" s="574">
        <f>INPUT!B141</f>
        <v>0.8</v>
      </c>
      <c r="E74" s="593">
        <f t="shared" si="2"/>
        <v>26580</v>
      </c>
      <c r="F74" s="575">
        <f>INPUT!C141</f>
        <v>0.2</v>
      </c>
      <c r="G74" s="515"/>
      <c r="H74" s="516"/>
      <c r="I74" s="512"/>
      <c r="J74" s="513"/>
      <c r="K74" s="138"/>
      <c r="L74" s="517"/>
      <c r="M74" s="513"/>
      <c r="N74" s="518"/>
      <c r="O74" s="519"/>
      <c r="Q74" s="513"/>
      <c r="R74" s="138"/>
      <c r="S74" s="517"/>
      <c r="T74" s="513"/>
      <c r="U74" s="517"/>
      <c r="V74" s="513"/>
      <c r="W74" s="512"/>
      <c r="X74" s="513"/>
      <c r="Y74" s="520"/>
      <c r="Z74" s="513"/>
      <c r="AA74" s="520"/>
      <c r="AB74" s="521"/>
      <c r="AC74" s="513"/>
    </row>
    <row r="75" spans="1:29" ht="14.4" thickTop="1" thickBot="1">
      <c r="A75" s="527" t="s">
        <v>134</v>
      </c>
      <c r="B75" s="593">
        <f t="shared" si="1"/>
        <v>342000</v>
      </c>
      <c r="C75" s="593">
        <f t="shared" si="3"/>
        <v>273600</v>
      </c>
      <c r="D75" s="574">
        <f>INPUT!B142</f>
        <v>0.8</v>
      </c>
      <c r="E75" s="593">
        <f t="shared" si="2"/>
        <v>68400</v>
      </c>
      <c r="F75" s="575">
        <f>INPUT!C142</f>
        <v>0.2</v>
      </c>
      <c r="G75" s="515"/>
      <c r="H75" s="516"/>
      <c r="I75" s="512"/>
      <c r="J75" s="513"/>
      <c r="K75" s="138"/>
      <c r="L75" s="517"/>
      <c r="M75" s="513"/>
      <c r="N75" s="518"/>
      <c r="O75" s="519"/>
      <c r="Q75" s="513"/>
      <c r="R75" s="138"/>
      <c r="S75" s="517"/>
      <c r="T75" s="513"/>
      <c r="U75" s="517"/>
      <c r="V75" s="513"/>
      <c r="W75" s="512"/>
      <c r="X75" s="513"/>
      <c r="Y75" s="520"/>
      <c r="Z75" s="513"/>
      <c r="AA75" s="520"/>
      <c r="AB75" s="521"/>
      <c r="AC75" s="513"/>
    </row>
    <row r="76" spans="1:29" ht="14.4" thickTop="1" thickBot="1">
      <c r="A76" s="527" t="s">
        <v>85</v>
      </c>
      <c r="B76" s="593">
        <f t="shared" si="1"/>
        <v>170000</v>
      </c>
      <c r="C76" s="593">
        <f t="shared" si="3"/>
        <v>136000</v>
      </c>
      <c r="D76" s="574">
        <f>INPUT!B143</f>
        <v>0.8</v>
      </c>
      <c r="E76" s="593">
        <f t="shared" si="2"/>
        <v>34000</v>
      </c>
      <c r="F76" s="575">
        <f>INPUT!C143</f>
        <v>0.2</v>
      </c>
      <c r="G76" s="515"/>
      <c r="H76" s="516"/>
      <c r="I76" s="512"/>
      <c r="J76" s="513"/>
      <c r="K76" s="138"/>
      <c r="L76" s="517"/>
      <c r="M76" s="513"/>
      <c r="N76" s="518"/>
      <c r="O76" s="519"/>
      <c r="Q76" s="513"/>
      <c r="R76" s="138"/>
      <c r="S76" s="517"/>
      <c r="T76" s="513"/>
      <c r="U76" s="517"/>
      <c r="V76" s="513"/>
      <c r="W76" s="512"/>
      <c r="X76" s="513"/>
      <c r="Y76" s="520"/>
      <c r="Z76" s="513"/>
      <c r="AA76" s="520"/>
      <c r="AB76" s="521"/>
      <c r="AC76" s="513"/>
    </row>
    <row r="77" spans="1:29" ht="14.4" thickTop="1" thickBot="1">
      <c r="A77" s="527" t="s">
        <v>86</v>
      </c>
      <c r="B77" s="593">
        <f t="shared" si="1"/>
        <v>73450</v>
      </c>
      <c r="C77" s="593">
        <f t="shared" si="3"/>
        <v>58760</v>
      </c>
      <c r="D77" s="574">
        <f>INPUT!B144</f>
        <v>0.8</v>
      </c>
      <c r="E77" s="593">
        <f t="shared" si="2"/>
        <v>14690</v>
      </c>
      <c r="F77" s="575">
        <f>INPUT!C144</f>
        <v>0.2</v>
      </c>
      <c r="G77" s="515"/>
      <c r="H77" s="516"/>
      <c r="I77" s="512"/>
      <c r="J77" s="513"/>
      <c r="K77" s="138"/>
      <c r="L77" s="517"/>
      <c r="M77" s="513"/>
      <c r="N77" s="518"/>
      <c r="O77" s="519"/>
      <c r="Q77" s="513"/>
      <c r="R77" s="138"/>
      <c r="S77" s="517"/>
      <c r="T77" s="513"/>
      <c r="U77" s="517"/>
      <c r="V77" s="513"/>
      <c r="W77" s="512"/>
      <c r="X77" s="513"/>
      <c r="Y77" s="520"/>
      <c r="Z77" s="513"/>
      <c r="AA77" s="520"/>
      <c r="AB77" s="521"/>
      <c r="AC77" s="513"/>
    </row>
    <row r="78" spans="1:29" ht="14.4" thickTop="1" thickBot="1">
      <c r="A78" s="527" t="s">
        <v>87</v>
      </c>
      <c r="B78" s="593">
        <f t="shared" si="1"/>
        <v>131180</v>
      </c>
      <c r="C78" s="593">
        <f t="shared" si="3"/>
        <v>104944</v>
      </c>
      <c r="D78" s="574">
        <f>INPUT!B145</f>
        <v>0.8</v>
      </c>
      <c r="E78" s="593">
        <f t="shared" si="2"/>
        <v>26236</v>
      </c>
      <c r="F78" s="575">
        <f>INPUT!C145</f>
        <v>0.2</v>
      </c>
      <c r="G78" s="515"/>
      <c r="H78" s="516"/>
      <c r="I78" s="512"/>
      <c r="J78" s="513"/>
      <c r="K78" s="138"/>
      <c r="L78" s="517"/>
      <c r="M78" s="513"/>
      <c r="N78" s="518"/>
      <c r="O78" s="519"/>
      <c r="Q78" s="513"/>
      <c r="R78" s="138"/>
      <c r="S78" s="517"/>
      <c r="T78" s="513"/>
      <c r="U78" s="517"/>
      <c r="V78" s="513"/>
      <c r="W78" s="512"/>
      <c r="X78" s="513"/>
      <c r="Y78" s="520"/>
      <c r="Z78" s="513"/>
      <c r="AA78" s="520"/>
      <c r="AB78" s="521"/>
      <c r="AC78" s="513"/>
    </row>
    <row r="79" spans="1:29" ht="14.4" thickTop="1" thickBot="1">
      <c r="A79" s="527" t="s">
        <v>135</v>
      </c>
      <c r="B79" s="593">
        <f t="shared" si="1"/>
        <v>107340</v>
      </c>
      <c r="C79" s="593">
        <f t="shared" si="3"/>
        <v>85872</v>
      </c>
      <c r="D79" s="574">
        <f>INPUT!B146</f>
        <v>0.8</v>
      </c>
      <c r="E79" s="593">
        <f t="shared" si="2"/>
        <v>21468</v>
      </c>
      <c r="F79" s="575">
        <f>INPUT!C146</f>
        <v>0.2</v>
      </c>
      <c r="G79" s="515"/>
      <c r="H79" s="516"/>
      <c r="I79" s="512"/>
      <c r="J79" s="513"/>
      <c r="K79" s="138"/>
      <c r="L79" s="517"/>
      <c r="M79" s="513"/>
      <c r="N79" s="518"/>
      <c r="O79" s="519"/>
      <c r="Q79" s="513"/>
      <c r="R79" s="138"/>
      <c r="S79" s="517"/>
      <c r="T79" s="513"/>
      <c r="U79" s="517"/>
      <c r="V79" s="513"/>
      <c r="W79" s="512"/>
      <c r="X79" s="513"/>
      <c r="Y79" s="520"/>
      <c r="Z79" s="513"/>
      <c r="AA79" s="520"/>
      <c r="AB79" s="521"/>
      <c r="AC79" s="513"/>
    </row>
    <row r="80" spans="1:29" ht="14.4" thickTop="1" thickBot="1">
      <c r="A80" s="527" t="s">
        <v>90</v>
      </c>
      <c r="B80" s="593">
        <f t="shared" si="1"/>
        <v>133000</v>
      </c>
      <c r="C80" s="593">
        <f t="shared" si="3"/>
        <v>106400</v>
      </c>
      <c r="D80" s="574">
        <f>INPUT!B147</f>
        <v>0.8</v>
      </c>
      <c r="E80" s="593">
        <f t="shared" si="2"/>
        <v>26600</v>
      </c>
      <c r="F80" s="575">
        <f>INPUT!C147</f>
        <v>0.2</v>
      </c>
      <c r="G80" s="515"/>
      <c r="H80" s="516"/>
      <c r="I80" s="512"/>
      <c r="J80" s="513"/>
      <c r="K80" s="138"/>
      <c r="L80" s="517"/>
      <c r="M80" s="513"/>
      <c r="N80" s="518"/>
      <c r="O80" s="519"/>
      <c r="Q80" s="513"/>
      <c r="R80" s="138"/>
      <c r="S80" s="517"/>
      <c r="T80" s="513"/>
      <c r="U80" s="517"/>
      <c r="V80" s="513"/>
      <c r="W80" s="512"/>
      <c r="X80" s="513"/>
      <c r="Y80" s="520"/>
      <c r="Z80" s="513"/>
      <c r="AA80" s="520"/>
      <c r="AB80" s="521"/>
      <c r="AC80" s="513"/>
    </row>
    <row r="81" spans="1:29" ht="14.4" thickTop="1" thickBot="1">
      <c r="A81" s="527" t="s">
        <v>136</v>
      </c>
      <c r="B81" s="593">
        <f t="shared" si="1"/>
        <v>145000</v>
      </c>
      <c r="C81" s="593">
        <f t="shared" si="3"/>
        <v>116000</v>
      </c>
      <c r="D81" s="574">
        <f>INPUT!B148</f>
        <v>0.8</v>
      </c>
      <c r="E81" s="593">
        <f t="shared" si="2"/>
        <v>29000</v>
      </c>
      <c r="F81" s="575">
        <f>INPUT!C148</f>
        <v>0.2</v>
      </c>
      <c r="G81" s="515"/>
      <c r="H81" s="516"/>
      <c r="I81" s="512"/>
      <c r="J81" s="513"/>
      <c r="K81" s="138"/>
      <c r="L81" s="517"/>
      <c r="M81" s="513"/>
      <c r="N81" s="518"/>
      <c r="O81" s="519"/>
      <c r="Q81" s="513"/>
      <c r="R81" s="138"/>
      <c r="S81" s="517"/>
      <c r="T81" s="513"/>
      <c r="U81" s="517"/>
      <c r="V81" s="513"/>
      <c r="W81" s="512"/>
      <c r="X81" s="513"/>
      <c r="Y81" s="520"/>
      <c r="Z81" s="513"/>
      <c r="AA81" s="520"/>
      <c r="AB81" s="521"/>
      <c r="AC81" s="513"/>
    </row>
    <row r="82" spans="1:29" ht="14.4" thickTop="1" thickBot="1">
      <c r="A82" s="527" t="s">
        <v>88</v>
      </c>
      <c r="B82" s="593">
        <f t="shared" si="1"/>
        <v>137000</v>
      </c>
      <c r="C82" s="593">
        <f t="shared" si="3"/>
        <v>109600</v>
      </c>
      <c r="D82" s="574">
        <f>INPUT!B149</f>
        <v>0.8</v>
      </c>
      <c r="E82" s="593">
        <f t="shared" si="2"/>
        <v>27400</v>
      </c>
      <c r="F82" s="575">
        <f>INPUT!C149</f>
        <v>0.2</v>
      </c>
      <c r="G82" s="515"/>
      <c r="H82" s="516"/>
      <c r="I82" s="512"/>
      <c r="J82" s="513"/>
      <c r="K82" s="138"/>
      <c r="L82" s="517"/>
      <c r="M82" s="513"/>
      <c r="N82" s="518"/>
      <c r="O82" s="519"/>
      <c r="Q82" s="513"/>
      <c r="R82" s="138"/>
      <c r="S82" s="517"/>
      <c r="T82" s="513"/>
      <c r="U82" s="517"/>
      <c r="V82" s="513"/>
      <c r="W82" s="512"/>
      <c r="X82" s="513"/>
      <c r="Y82" s="520"/>
      <c r="Z82" s="513"/>
      <c r="AA82" s="520"/>
      <c r="AB82" s="521"/>
      <c r="AC82" s="513"/>
    </row>
    <row r="83" spans="1:29" ht="14.4" thickTop="1" thickBot="1">
      <c r="A83" s="527" t="s">
        <v>137</v>
      </c>
      <c r="B83" s="593">
        <f t="shared" si="1"/>
        <v>122300</v>
      </c>
      <c r="C83" s="593">
        <f t="shared" si="3"/>
        <v>97840</v>
      </c>
      <c r="D83" s="574">
        <f>INPUT!B150</f>
        <v>0.8</v>
      </c>
      <c r="E83" s="593">
        <f t="shared" si="2"/>
        <v>24460</v>
      </c>
      <c r="F83" s="575">
        <f>INPUT!C150</f>
        <v>0.2</v>
      </c>
      <c r="G83" s="515"/>
      <c r="H83" s="516"/>
      <c r="I83" s="512"/>
      <c r="J83" s="513"/>
      <c r="K83" s="138"/>
      <c r="L83" s="517"/>
      <c r="M83" s="513"/>
      <c r="N83" s="518"/>
      <c r="O83" s="519"/>
      <c r="Q83" s="513"/>
      <c r="R83" s="138"/>
      <c r="S83" s="517"/>
      <c r="T83" s="513"/>
      <c r="U83" s="517"/>
      <c r="V83" s="513"/>
      <c r="W83" s="512"/>
      <c r="X83" s="513"/>
      <c r="Y83" s="520"/>
      <c r="Z83" s="513"/>
      <c r="AA83" s="520"/>
      <c r="AB83" s="521"/>
      <c r="AC83" s="513"/>
    </row>
    <row r="84" spans="1:29" ht="14.4" thickTop="1" thickBot="1">
      <c r="A84" s="527" t="s">
        <v>89</v>
      </c>
      <c r="B84" s="593">
        <f t="shared" si="1"/>
        <v>535101</v>
      </c>
      <c r="C84" s="593">
        <f t="shared" si="3"/>
        <v>428080.80000000005</v>
      </c>
      <c r="D84" s="574">
        <f>INPUT!B151</f>
        <v>0.8</v>
      </c>
      <c r="E84" s="593">
        <f t="shared" si="2"/>
        <v>107020.20000000001</v>
      </c>
      <c r="F84" s="575">
        <f>INPUT!C151</f>
        <v>0.2</v>
      </c>
      <c r="G84" s="515"/>
      <c r="H84" s="516"/>
      <c r="I84" s="512"/>
      <c r="J84" s="513"/>
      <c r="K84" s="138"/>
      <c r="L84" s="517"/>
      <c r="M84" s="513"/>
      <c r="N84" s="518"/>
      <c r="O84" s="519"/>
      <c r="Q84" s="513"/>
      <c r="R84" s="138"/>
      <c r="S84" s="517"/>
      <c r="T84" s="513"/>
      <c r="U84" s="517"/>
      <c r="V84" s="513"/>
      <c r="W84" s="512"/>
      <c r="X84" s="513"/>
      <c r="Y84" s="520"/>
      <c r="Z84" s="513"/>
      <c r="AA84" s="520"/>
      <c r="AB84" s="521"/>
      <c r="AC84" s="513"/>
    </row>
    <row r="85" spans="1:29" ht="14.4" thickTop="1" thickBot="1">
      <c r="A85" s="527" t="s">
        <v>91</v>
      </c>
      <c r="B85" s="593">
        <f t="shared" si="1"/>
        <v>20781</v>
      </c>
      <c r="C85" s="593">
        <f t="shared" si="3"/>
        <v>16624.8</v>
      </c>
      <c r="D85" s="574">
        <f>INPUT!B152</f>
        <v>0.8</v>
      </c>
      <c r="E85" s="593">
        <f t="shared" si="2"/>
        <v>4156.2</v>
      </c>
      <c r="F85" s="575">
        <f>INPUT!C152</f>
        <v>0.2</v>
      </c>
      <c r="G85" s="515"/>
      <c r="H85" s="516"/>
      <c r="I85" s="512"/>
      <c r="J85" s="513"/>
      <c r="K85" s="138"/>
      <c r="L85" s="517"/>
      <c r="M85" s="513"/>
      <c r="N85" s="518"/>
      <c r="O85" s="519"/>
      <c r="Q85" s="513"/>
      <c r="R85" s="138"/>
      <c r="S85" s="517"/>
      <c r="T85" s="513"/>
      <c r="U85" s="517"/>
      <c r="V85" s="513"/>
      <c r="W85" s="512"/>
      <c r="X85" s="513"/>
      <c r="Y85" s="520"/>
      <c r="Z85" s="513"/>
      <c r="AA85" s="520"/>
      <c r="AB85" s="521"/>
      <c r="AC85" s="513"/>
    </row>
    <row r="86" spans="1:29" ht="14.4" thickTop="1" thickBot="1">
      <c r="A86" s="527" t="s">
        <v>92</v>
      </c>
      <c r="B86" s="593">
        <f t="shared" si="1"/>
        <v>418992</v>
      </c>
      <c r="C86" s="593">
        <f t="shared" si="3"/>
        <v>335193.60000000003</v>
      </c>
      <c r="D86" s="574">
        <f>INPUT!B153</f>
        <v>0.8</v>
      </c>
      <c r="E86" s="593">
        <f t="shared" si="2"/>
        <v>83798.400000000009</v>
      </c>
      <c r="F86" s="575">
        <f>INPUT!C153</f>
        <v>0.2</v>
      </c>
      <c r="G86" s="515"/>
      <c r="H86" s="516"/>
      <c r="I86" s="512"/>
      <c r="J86" s="513"/>
      <c r="K86" s="138"/>
      <c r="L86" s="517"/>
      <c r="M86" s="513"/>
      <c r="N86" s="518"/>
      <c r="O86" s="519"/>
      <c r="Q86" s="513"/>
      <c r="R86" s="138"/>
      <c r="S86" s="517"/>
      <c r="T86" s="513"/>
      <c r="U86" s="517"/>
      <c r="V86" s="513"/>
      <c r="W86" s="512"/>
      <c r="X86" s="513"/>
      <c r="Y86" s="520"/>
      <c r="Z86" s="513"/>
      <c r="AA86" s="520"/>
      <c r="AB86" s="521"/>
      <c r="AC86" s="513"/>
    </row>
    <row r="87" spans="1:29" ht="14.4" thickTop="1" thickBot="1">
      <c r="A87" s="394" t="s">
        <v>2</v>
      </c>
      <c r="B87" s="594">
        <f>SUM(B67:B86)</f>
        <v>4531069</v>
      </c>
      <c r="C87" s="594">
        <f>SUM(C67:C86)</f>
        <v>3624855.1999999997</v>
      </c>
      <c r="D87" s="563"/>
      <c r="E87" s="594">
        <f>SUM(E67:E86)</f>
        <v>906213.79999999993</v>
      </c>
      <c r="F87" s="564"/>
      <c r="G87" s="515"/>
      <c r="H87" s="516"/>
      <c r="I87" s="512"/>
      <c r="J87" s="513"/>
      <c r="K87" s="138"/>
      <c r="L87" s="517"/>
      <c r="M87" s="513"/>
      <c r="N87" s="518"/>
      <c r="O87" s="519"/>
      <c r="Q87" s="513"/>
      <c r="R87" s="138"/>
      <c r="S87" s="517"/>
      <c r="T87" s="513"/>
      <c r="U87" s="517"/>
      <c r="V87" s="513"/>
      <c r="W87" s="512"/>
      <c r="X87" s="513"/>
      <c r="Y87" s="520"/>
      <c r="Z87" s="513"/>
      <c r="AA87" s="520"/>
      <c r="AB87" s="521"/>
      <c r="AC87" s="513"/>
    </row>
    <row r="88" spans="1:29" ht="13.8" thickTop="1">
      <c r="A88" s="28"/>
      <c r="B88" s="512"/>
      <c r="C88" s="513"/>
      <c r="D88" s="514"/>
      <c r="E88" s="512"/>
      <c r="F88" s="513"/>
      <c r="G88" s="515"/>
      <c r="H88" s="516"/>
      <c r="I88" s="512"/>
      <c r="J88" s="513"/>
      <c r="K88" s="138"/>
      <c r="L88" s="517"/>
      <c r="M88" s="513"/>
      <c r="N88" s="518"/>
      <c r="O88" s="519"/>
      <c r="Q88" s="513"/>
      <c r="R88" s="138"/>
      <c r="S88" s="517"/>
      <c r="T88" s="513"/>
      <c r="U88" s="517"/>
      <c r="V88" s="513"/>
      <c r="W88" s="512"/>
      <c r="X88" s="513"/>
      <c r="Y88" s="520"/>
      <c r="Z88" s="513"/>
      <c r="AA88" s="520"/>
      <c r="AB88" s="521"/>
      <c r="AC88" s="513"/>
    </row>
    <row r="89" spans="1:29">
      <c r="A89" s="28"/>
      <c r="B89" s="512"/>
      <c r="C89" s="513"/>
      <c r="D89" s="514"/>
      <c r="E89" s="512"/>
      <c r="F89" s="513"/>
      <c r="G89" s="515"/>
      <c r="H89" s="516"/>
      <c r="I89" s="512"/>
      <c r="J89" s="513"/>
      <c r="K89" s="138"/>
      <c r="L89" s="517"/>
      <c r="M89" s="513"/>
      <c r="N89" s="518"/>
      <c r="O89" s="519"/>
      <c r="Q89" s="513"/>
      <c r="R89" s="138"/>
      <c r="S89" s="517"/>
      <c r="T89" s="513"/>
      <c r="U89" s="517"/>
      <c r="V89" s="513"/>
      <c r="W89" s="512"/>
      <c r="X89" s="513"/>
      <c r="Y89" s="520"/>
      <c r="Z89" s="513"/>
      <c r="AA89" s="520"/>
      <c r="AB89" s="521"/>
      <c r="AC89" s="513"/>
    </row>
    <row r="90" spans="1:29">
      <c r="A90" s="28"/>
      <c r="B90" s="512"/>
      <c r="C90" s="513"/>
      <c r="D90" s="514"/>
      <c r="E90" s="512"/>
      <c r="F90" s="513"/>
      <c r="G90" s="515"/>
      <c r="H90" s="516"/>
      <c r="I90" s="512"/>
      <c r="J90" s="513"/>
      <c r="K90" s="138"/>
      <c r="L90" s="517"/>
      <c r="M90" s="513"/>
      <c r="N90" s="518"/>
      <c r="O90" s="519"/>
      <c r="Q90" s="513"/>
      <c r="R90" s="138"/>
      <c r="S90" s="517"/>
      <c r="T90" s="513"/>
      <c r="U90" s="517"/>
      <c r="V90" s="513"/>
      <c r="W90" s="512"/>
      <c r="X90" s="513"/>
      <c r="Y90" s="520"/>
      <c r="Z90" s="513"/>
      <c r="AA90" s="520"/>
      <c r="AB90" s="521"/>
      <c r="AC90" s="513"/>
    </row>
    <row r="91" spans="1:29">
      <c r="A91" s="28"/>
      <c r="B91" s="512"/>
      <c r="C91" s="513"/>
      <c r="D91" s="514"/>
      <c r="E91" s="512"/>
      <c r="F91" s="513"/>
      <c r="G91" s="515"/>
      <c r="H91" s="516"/>
      <c r="I91" s="512"/>
      <c r="J91" s="513"/>
      <c r="K91" s="138"/>
      <c r="L91" s="517"/>
      <c r="M91" s="513"/>
      <c r="N91" s="518"/>
      <c r="O91" s="519"/>
      <c r="Q91" s="513"/>
      <c r="R91" s="138"/>
      <c r="S91" s="517"/>
      <c r="T91" s="513"/>
      <c r="U91" s="517"/>
      <c r="V91" s="513"/>
      <c r="W91" s="512"/>
      <c r="X91" s="513"/>
      <c r="Y91" s="520"/>
      <c r="Z91" s="513"/>
      <c r="AA91" s="520"/>
      <c r="AB91" s="521"/>
      <c r="AC91" s="513"/>
    </row>
    <row r="92" spans="1:29">
      <c r="A92" s="28"/>
      <c r="B92" s="512"/>
      <c r="C92" s="513"/>
      <c r="D92" s="514"/>
      <c r="E92" s="512"/>
      <c r="F92" s="513"/>
      <c r="G92" s="515"/>
      <c r="H92" s="516"/>
      <c r="I92" s="512"/>
      <c r="J92" s="513"/>
      <c r="K92" s="138"/>
      <c r="L92" s="517"/>
      <c r="M92" s="513"/>
      <c r="N92" s="518"/>
      <c r="O92" s="519"/>
      <c r="Q92" s="513"/>
      <c r="R92" s="138"/>
      <c r="S92" s="517"/>
      <c r="T92" s="513"/>
      <c r="U92" s="517"/>
      <c r="V92" s="513"/>
      <c r="W92" s="512"/>
      <c r="X92" s="513"/>
      <c r="Y92" s="520"/>
      <c r="Z92" s="513"/>
      <c r="AA92" s="520"/>
      <c r="AB92" s="521"/>
      <c r="AC92" s="513"/>
    </row>
    <row r="93" spans="1:29">
      <c r="A93" s="28"/>
      <c r="B93" s="512"/>
      <c r="C93" s="513"/>
      <c r="D93" s="514"/>
      <c r="E93" s="512"/>
      <c r="F93" s="513"/>
      <c r="G93" s="515"/>
      <c r="H93" s="516"/>
      <c r="I93" s="512"/>
      <c r="J93" s="513"/>
      <c r="K93" s="138"/>
      <c r="L93" s="517"/>
      <c r="M93" s="513"/>
      <c r="N93" s="518"/>
      <c r="O93" s="519"/>
      <c r="Q93" s="513"/>
      <c r="R93" s="138"/>
      <c r="S93" s="517"/>
      <c r="T93" s="513"/>
      <c r="U93" s="517"/>
      <c r="V93" s="513"/>
      <c r="W93" s="512"/>
      <c r="X93" s="513"/>
      <c r="Y93" s="520"/>
      <c r="Z93" s="513"/>
      <c r="AA93" s="520"/>
      <c r="AB93" s="521"/>
      <c r="AC93" s="513"/>
    </row>
    <row r="94" spans="1:29">
      <c r="A94" s="28"/>
      <c r="B94" s="512"/>
      <c r="C94" s="513"/>
      <c r="D94" s="514"/>
      <c r="E94" s="512"/>
      <c r="F94" s="513"/>
      <c r="G94" s="515"/>
      <c r="H94" s="516"/>
      <c r="I94" s="512"/>
      <c r="J94" s="513"/>
      <c r="K94" s="138"/>
      <c r="L94" s="517"/>
      <c r="M94" s="513"/>
      <c r="N94" s="518"/>
      <c r="O94" s="519"/>
      <c r="Q94" s="513"/>
      <c r="R94" s="138"/>
      <c r="S94" s="517"/>
      <c r="T94" s="513"/>
      <c r="U94" s="517"/>
      <c r="V94" s="513"/>
      <c r="W94" s="512"/>
      <c r="X94" s="513"/>
      <c r="Y94" s="520"/>
      <c r="Z94" s="513"/>
      <c r="AA94" s="520"/>
      <c r="AB94" s="521"/>
      <c r="AC94" s="513"/>
    </row>
    <row r="95" spans="1:29">
      <c r="A95" s="28"/>
      <c r="B95" s="512"/>
      <c r="C95" s="513"/>
      <c r="D95" s="514"/>
      <c r="E95" s="512"/>
      <c r="F95" s="513"/>
      <c r="G95" s="515"/>
      <c r="H95" s="516"/>
      <c r="I95" s="512"/>
      <c r="J95" s="513"/>
      <c r="K95" s="138"/>
      <c r="L95" s="517"/>
      <c r="M95" s="513"/>
      <c r="N95" s="518"/>
      <c r="O95" s="519"/>
      <c r="Q95" s="513"/>
      <c r="R95" s="138"/>
      <c r="S95" s="517"/>
      <c r="T95" s="513"/>
      <c r="U95" s="517"/>
      <c r="V95" s="513"/>
      <c r="W95" s="512"/>
      <c r="X95" s="513"/>
      <c r="Y95" s="520"/>
      <c r="Z95" s="513"/>
      <c r="AA95" s="520"/>
      <c r="AB95" s="521"/>
      <c r="AC95" s="513"/>
    </row>
    <row r="96" spans="1:29">
      <c r="A96" s="28"/>
      <c r="B96" s="512"/>
      <c r="C96" s="513"/>
      <c r="D96" s="514"/>
      <c r="E96" s="512"/>
      <c r="F96" s="513"/>
      <c r="G96" s="515"/>
      <c r="H96" s="516"/>
      <c r="I96" s="512"/>
      <c r="J96" s="513"/>
      <c r="K96" s="138"/>
      <c r="L96" s="517"/>
      <c r="M96" s="513"/>
      <c r="N96" s="518"/>
      <c r="O96" s="519"/>
      <c r="Q96" s="513"/>
      <c r="R96" s="138"/>
      <c r="S96" s="517"/>
      <c r="T96" s="513"/>
      <c r="U96" s="517"/>
      <c r="V96" s="513"/>
      <c r="W96" s="512"/>
      <c r="X96" s="513"/>
      <c r="Y96" s="520"/>
      <c r="Z96" s="513"/>
      <c r="AA96" s="520"/>
      <c r="AB96" s="521"/>
      <c r="AC96" s="513"/>
    </row>
    <row r="97" spans="1:29">
      <c r="A97" s="28"/>
      <c r="B97" s="512"/>
      <c r="C97" s="513"/>
      <c r="D97" s="514"/>
      <c r="E97" s="512"/>
      <c r="F97" s="513"/>
      <c r="G97" s="515"/>
      <c r="H97" s="516"/>
      <c r="I97" s="512"/>
      <c r="J97" s="513"/>
      <c r="K97" s="138"/>
      <c r="L97" s="517"/>
      <c r="M97" s="513"/>
      <c r="N97" s="518"/>
      <c r="O97" s="519"/>
      <c r="Q97" s="513"/>
      <c r="R97" s="138"/>
      <c r="S97" s="517"/>
      <c r="T97" s="513"/>
      <c r="U97" s="517"/>
      <c r="V97" s="513"/>
      <c r="W97" s="512"/>
      <c r="X97" s="513"/>
      <c r="Y97" s="520"/>
      <c r="Z97" s="513"/>
      <c r="AA97" s="520"/>
      <c r="AB97" s="521"/>
      <c r="AC97" s="513"/>
    </row>
    <row r="98" spans="1:29">
      <c r="A98" s="28"/>
      <c r="B98" s="512"/>
      <c r="C98" s="513"/>
      <c r="D98" s="514"/>
      <c r="E98" s="512"/>
      <c r="F98" s="513"/>
      <c r="G98" s="515"/>
      <c r="H98" s="516"/>
      <c r="I98" s="512"/>
      <c r="J98" s="513"/>
      <c r="K98" s="138"/>
      <c r="L98" s="517"/>
      <c r="M98" s="513"/>
      <c r="N98" s="518"/>
      <c r="O98" s="519"/>
      <c r="Q98" s="513"/>
      <c r="R98" s="138"/>
      <c r="S98" s="517"/>
      <c r="T98" s="513"/>
      <c r="U98" s="517"/>
      <c r="V98" s="513"/>
      <c r="W98" s="512"/>
      <c r="X98" s="513"/>
      <c r="Y98" s="520"/>
      <c r="Z98" s="513"/>
      <c r="AA98" s="520"/>
      <c r="AB98" s="521"/>
      <c r="AC98" s="513"/>
    </row>
    <row r="99" spans="1:29">
      <c r="A99" s="28"/>
      <c r="B99" s="512"/>
      <c r="C99" s="513"/>
      <c r="D99" s="514"/>
      <c r="E99" s="512"/>
      <c r="F99" s="513"/>
      <c r="G99" s="515"/>
      <c r="H99" s="516"/>
      <c r="I99" s="512"/>
      <c r="J99" s="513"/>
      <c r="K99" s="138"/>
      <c r="L99" s="517"/>
      <c r="M99" s="513"/>
      <c r="N99" s="518"/>
      <c r="O99" s="519"/>
      <c r="Q99" s="513"/>
      <c r="R99" s="138"/>
      <c r="S99" s="517"/>
      <c r="T99" s="513"/>
      <c r="U99" s="517"/>
      <c r="V99" s="513"/>
      <c r="W99" s="512"/>
      <c r="X99" s="513"/>
      <c r="Y99" s="520"/>
      <c r="Z99" s="513"/>
      <c r="AA99" s="520"/>
      <c r="AB99" s="521"/>
      <c r="AC99" s="513"/>
    </row>
    <row r="100" spans="1:29">
      <c r="A100" s="28"/>
      <c r="B100" s="512"/>
      <c r="C100" s="513"/>
      <c r="D100" s="514"/>
      <c r="E100" s="512"/>
      <c r="F100" s="513"/>
      <c r="G100" s="515"/>
      <c r="H100" s="516"/>
      <c r="I100" s="512"/>
      <c r="J100" s="513"/>
      <c r="K100" s="138"/>
      <c r="L100" s="517"/>
      <c r="M100" s="513"/>
      <c r="N100" s="518"/>
      <c r="O100" s="519"/>
      <c r="Q100" s="513"/>
      <c r="R100" s="138"/>
      <c r="S100" s="517"/>
      <c r="T100" s="513"/>
      <c r="U100" s="517"/>
      <c r="V100" s="513"/>
      <c r="W100" s="512"/>
      <c r="X100" s="513"/>
      <c r="Y100" s="520"/>
      <c r="Z100" s="513"/>
      <c r="AA100" s="520"/>
      <c r="AB100" s="521"/>
      <c r="AC100" s="513"/>
    </row>
    <row r="101" spans="1:29">
      <c r="A101" s="28"/>
      <c r="B101" s="512"/>
      <c r="C101" s="513"/>
      <c r="D101" s="514"/>
      <c r="E101" s="512"/>
      <c r="F101" s="513"/>
      <c r="G101" s="515"/>
      <c r="H101" s="516"/>
      <c r="I101" s="512"/>
      <c r="J101" s="513"/>
      <c r="K101" s="138"/>
      <c r="L101" s="517"/>
      <c r="M101" s="513"/>
      <c r="N101" s="518"/>
      <c r="O101" s="519"/>
      <c r="Q101" s="513"/>
      <c r="R101" s="138"/>
      <c r="S101" s="517"/>
      <c r="T101" s="513"/>
      <c r="U101" s="517"/>
      <c r="V101" s="513"/>
      <c r="W101" s="512"/>
      <c r="X101" s="513"/>
      <c r="Y101" s="520"/>
      <c r="Z101" s="513"/>
      <c r="AA101" s="520"/>
      <c r="AB101" s="521"/>
      <c r="AC101" s="513"/>
    </row>
    <row r="102" spans="1:29">
      <c r="A102" s="28"/>
      <c r="B102" s="512"/>
      <c r="C102" s="513"/>
      <c r="D102" s="514"/>
      <c r="E102" s="512"/>
      <c r="F102" s="513"/>
      <c r="G102" s="515"/>
      <c r="H102" s="516"/>
      <c r="I102" s="512"/>
      <c r="J102" s="513"/>
      <c r="K102" s="138"/>
      <c r="L102" s="517"/>
      <c r="M102" s="513"/>
      <c r="N102" s="518"/>
      <c r="O102" s="519"/>
      <c r="Q102" s="513"/>
      <c r="R102" s="138"/>
      <c r="S102" s="517"/>
      <c r="T102" s="513"/>
      <c r="U102" s="517"/>
      <c r="V102" s="513"/>
      <c r="W102" s="512"/>
      <c r="X102" s="513"/>
      <c r="Y102" s="520"/>
      <c r="Z102" s="513"/>
      <c r="AA102" s="520"/>
      <c r="AB102" s="521"/>
      <c r="AC102" s="513"/>
    </row>
    <row r="103" spans="1:29">
      <c r="A103" s="28"/>
      <c r="B103" s="512"/>
      <c r="C103" s="513"/>
      <c r="D103" s="514"/>
      <c r="E103" s="512"/>
      <c r="F103" s="513"/>
      <c r="G103" s="515"/>
      <c r="H103" s="516"/>
      <c r="I103" s="512"/>
      <c r="J103" s="513"/>
      <c r="K103" s="138"/>
      <c r="L103" s="517"/>
      <c r="M103" s="513"/>
      <c r="N103" s="518"/>
      <c r="O103" s="519"/>
      <c r="Q103" s="513"/>
      <c r="R103" s="138"/>
      <c r="S103" s="517"/>
      <c r="T103" s="513"/>
      <c r="U103" s="517"/>
      <c r="V103" s="513"/>
      <c r="W103" s="512"/>
      <c r="X103" s="513"/>
      <c r="Y103" s="520"/>
      <c r="Z103" s="513"/>
      <c r="AA103" s="520"/>
      <c r="AB103" s="521"/>
      <c r="AC103" s="513"/>
    </row>
  </sheetData>
  <mergeCells count="1">
    <mergeCell ref="A34:C34"/>
  </mergeCells>
  <phoneticPr fontId="0" type="noConversion"/>
  <printOptions horizontalCentered="1" verticalCentered="1"/>
  <pageMargins left="0.19685039370078741" right="0.19685039370078741" top="0.19685039370078741" bottom="0.19685039370078741" header="0.19685039370078741" footer="0.19685039370078741"/>
  <pageSetup paperSize="9" scale="75" orientation="landscape"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8">
    <pageSetUpPr fitToPage="1"/>
  </sheetPr>
  <dimension ref="A1:AJ89"/>
  <sheetViews>
    <sheetView zoomScaleNormal="100" workbookViewId="0"/>
  </sheetViews>
  <sheetFormatPr defaultColWidth="9.109375" defaultRowHeight="13.15"/>
  <cols>
    <col min="1" max="1" width="95.6640625" style="58" bestFit="1" customWidth="1"/>
    <col min="2" max="2" width="27.5546875" style="58" bestFit="1" customWidth="1"/>
    <col min="3" max="3" width="33.109375" style="58" bestFit="1" customWidth="1"/>
    <col min="4" max="4" width="27.6640625" style="58" customWidth="1"/>
    <col min="5" max="5" width="34" style="58" customWidth="1"/>
    <col min="6" max="6" width="24.6640625" style="58" customWidth="1"/>
    <col min="7" max="7" width="21.109375" style="58" customWidth="1"/>
    <col min="8" max="8" width="22.88671875" style="58" customWidth="1"/>
    <col min="9" max="9" width="28" style="58" customWidth="1"/>
    <col min="10" max="10" width="25.5546875" style="58" customWidth="1"/>
    <col min="11" max="11" width="31.44140625" style="58" customWidth="1"/>
    <col min="12" max="12" width="31.6640625" style="58" customWidth="1"/>
    <col min="13" max="15" width="21.109375" style="58" customWidth="1"/>
    <col min="16" max="16" width="15.109375" style="490" customWidth="1"/>
    <col min="17" max="17" width="20.88671875" style="58" customWidth="1"/>
    <col min="18" max="18" width="26.109375" style="58" customWidth="1"/>
    <col min="19" max="20" width="32" style="58" customWidth="1"/>
    <col min="21" max="22" width="29.33203125" style="58" customWidth="1"/>
    <col min="23" max="23" width="16.5546875" style="58" bestFit="1" customWidth="1"/>
    <col min="24" max="24" width="16.5546875" style="58" customWidth="1"/>
    <col min="25" max="25" width="34.44140625" style="58" bestFit="1" customWidth="1"/>
    <col min="26" max="26" width="9.88671875" style="58" bestFit="1" customWidth="1"/>
    <col min="27" max="27" width="26.88671875" style="58" customWidth="1"/>
    <col min="28" max="28" width="4.6640625" style="152" hidden="1" customWidth="1"/>
    <col min="29" max="29" width="17.88671875" style="58" customWidth="1"/>
    <col min="30" max="31" width="18.33203125" style="58" customWidth="1"/>
    <col min="32" max="32" width="10.33203125" style="12" bestFit="1" customWidth="1"/>
    <col min="33" max="33" width="14.88671875" style="12" customWidth="1"/>
    <col min="34" max="34" width="9.109375" style="12"/>
    <col min="35" max="35" width="14.33203125" style="12" customWidth="1"/>
    <col min="36" max="36" width="11" style="12" customWidth="1"/>
    <col min="37" max="16384" width="9.109375" style="58"/>
  </cols>
  <sheetData>
    <row r="1" spans="1:28" s="58" customFormat="1">
      <c r="A1" s="474" t="s">
        <v>201</v>
      </c>
      <c r="B1" s="475"/>
      <c r="C1" s="596"/>
      <c r="D1" s="596"/>
      <c r="E1" s="596"/>
      <c r="F1" s="596"/>
      <c r="G1" s="596"/>
      <c r="H1" s="596"/>
      <c r="I1" s="596"/>
      <c r="J1" s="596"/>
      <c r="K1" s="596"/>
      <c r="L1" s="596"/>
      <c r="M1" s="596"/>
      <c r="N1" s="597"/>
      <c r="O1" s="478"/>
      <c r="P1" s="477"/>
      <c r="Q1" s="478"/>
      <c r="R1" s="478"/>
      <c r="S1" s="478"/>
      <c r="T1" s="478"/>
      <c r="U1" s="478"/>
      <c r="V1" s="478"/>
      <c r="W1" s="478"/>
      <c r="X1" s="479"/>
      <c r="Y1" s="480"/>
      <c r="Z1" s="478"/>
      <c r="AA1" s="478"/>
      <c r="AB1" s="478"/>
    </row>
    <row r="2" spans="1:28" s="58" customFormat="1">
      <c r="A2" s="83" t="s">
        <v>1</v>
      </c>
      <c r="B2" s="481">
        <v>44926</v>
      </c>
      <c r="C2" s="482"/>
      <c r="D2" s="483"/>
      <c r="E2" s="482"/>
      <c r="F2" s="483"/>
      <c r="G2" s="482"/>
      <c r="H2" s="483"/>
      <c r="I2" s="482"/>
      <c r="J2" s="483"/>
      <c r="K2" s="482"/>
      <c r="L2" s="483"/>
      <c r="M2" s="482"/>
      <c r="N2" s="484"/>
      <c r="P2" s="485"/>
      <c r="Q2" s="486"/>
      <c r="R2" s="486"/>
      <c r="S2" s="486"/>
      <c r="T2" s="486"/>
      <c r="U2" s="486"/>
      <c r="AA2" s="100"/>
    </row>
    <row r="3" spans="1:28" s="58" customFormat="1">
      <c r="A3" s="487" t="s">
        <v>8</v>
      </c>
      <c r="B3" s="488"/>
      <c r="C3" s="501"/>
      <c r="D3" s="489"/>
      <c r="E3" s="489"/>
      <c r="F3" s="489"/>
      <c r="G3" s="489"/>
      <c r="H3" s="489"/>
      <c r="I3" s="489"/>
      <c r="J3" s="489"/>
      <c r="K3" s="489"/>
      <c r="L3" s="489"/>
      <c r="M3" s="489"/>
      <c r="N3" s="489"/>
      <c r="P3" s="103"/>
      <c r="AA3" s="152"/>
    </row>
    <row r="4" spans="1:28" s="58" customFormat="1" ht="12.55">
      <c r="A4" s="492" t="s">
        <v>73</v>
      </c>
      <c r="B4" s="576">
        <f>'Costi diretti'!F70</f>
        <v>2437374.106464</v>
      </c>
      <c r="C4" s="493">
        <f>B4/B$6</f>
        <v>0.50130213037922233</v>
      </c>
      <c r="D4" s="124"/>
      <c r="E4" s="494"/>
      <c r="F4" s="124"/>
      <c r="G4" s="494"/>
      <c r="H4" s="124"/>
      <c r="I4" s="494"/>
      <c r="J4" s="124"/>
      <c r="K4" s="494"/>
      <c r="L4" s="124"/>
      <c r="M4" s="494"/>
      <c r="N4" s="494"/>
      <c r="P4" s="103"/>
      <c r="AA4" s="152"/>
    </row>
    <row r="5" spans="1:28" s="58" customFormat="1" ht="12.55">
      <c r="A5" s="492" t="s">
        <v>69</v>
      </c>
      <c r="B5" s="576">
        <f>'Costi diretti'!B70</f>
        <v>2424711.9665000001</v>
      </c>
      <c r="C5" s="493">
        <f>B5/B$6</f>
        <v>0.49869786962077778</v>
      </c>
      <c r="D5" s="124"/>
      <c r="E5" s="494"/>
      <c r="F5" s="124"/>
      <c r="G5" s="494"/>
      <c r="H5" s="124"/>
      <c r="I5" s="494"/>
      <c r="J5" s="124"/>
      <c r="K5" s="494"/>
      <c r="L5" s="124"/>
      <c r="M5" s="494"/>
      <c r="N5" s="494"/>
      <c r="P5" s="103"/>
      <c r="AA5" s="152"/>
    </row>
    <row r="6" spans="1:28" s="58" customFormat="1">
      <c r="A6" s="91" t="s">
        <v>252</v>
      </c>
      <c r="B6" s="577">
        <f>SUM(B4:B5)</f>
        <v>4862086.0729639996</v>
      </c>
      <c r="C6" s="495">
        <f>B6/B$6</f>
        <v>1</v>
      </c>
      <c r="D6" s="490"/>
      <c r="E6" s="494"/>
      <c r="F6" s="490"/>
      <c r="G6" s="494"/>
      <c r="H6" s="490"/>
      <c r="I6" s="494"/>
      <c r="J6" s="490"/>
      <c r="K6" s="494"/>
      <c r="L6" s="490"/>
      <c r="M6" s="494"/>
      <c r="N6" s="494"/>
      <c r="P6" s="598"/>
      <c r="Q6" s="496"/>
      <c r="R6" s="496"/>
      <c r="S6" s="496"/>
      <c r="T6" s="496"/>
      <c r="U6" s="496"/>
      <c r="AA6" s="152"/>
    </row>
    <row r="7" spans="1:28" s="58" customFormat="1">
      <c r="B7" s="578"/>
      <c r="F7" s="141"/>
      <c r="G7" s="496"/>
      <c r="H7" s="100"/>
      <c r="I7" s="496"/>
      <c r="J7" s="100"/>
      <c r="K7" s="496"/>
      <c r="L7" s="100"/>
      <c r="M7" s="496"/>
      <c r="N7" s="497"/>
      <c r="O7" s="28"/>
      <c r="P7" s="598"/>
      <c r="Q7" s="496"/>
      <c r="R7" s="496"/>
      <c r="S7" s="496"/>
      <c r="T7" s="496"/>
      <c r="U7" s="496"/>
      <c r="AA7" s="100"/>
    </row>
    <row r="8" spans="1:28" s="58" customFormat="1">
      <c r="A8" s="599" t="s">
        <v>9</v>
      </c>
      <c r="B8" s="579"/>
      <c r="C8" s="501" t="s">
        <v>3</v>
      </c>
      <c r="D8" s="500"/>
      <c r="E8" s="500"/>
      <c r="F8" s="500"/>
      <c r="G8" s="500"/>
      <c r="H8" s="500"/>
      <c r="I8" s="500"/>
      <c r="J8" s="500"/>
      <c r="K8" s="500"/>
      <c r="L8" s="500"/>
      <c r="M8" s="499"/>
      <c r="N8" s="501"/>
      <c r="O8" s="600"/>
      <c r="P8" s="103"/>
      <c r="AA8" s="152"/>
    </row>
    <row r="9" spans="1:28" s="58" customFormat="1">
      <c r="A9" s="86" t="s">
        <v>38</v>
      </c>
      <c r="B9" s="580">
        <f>INPUT!E103</f>
        <v>594201</v>
      </c>
      <c r="C9" s="493">
        <f>B9/B$29</f>
        <v>0.26254405271472742</v>
      </c>
      <c r="D9" s="103"/>
      <c r="E9" s="494"/>
      <c r="F9" s="103"/>
      <c r="G9" s="494"/>
      <c r="H9" s="103"/>
      <c r="I9" s="494"/>
      <c r="J9" s="103"/>
      <c r="K9" s="494"/>
      <c r="L9" s="103"/>
      <c r="M9" s="494"/>
      <c r="N9" s="502"/>
      <c r="P9" s="601"/>
      <c r="Q9" s="601"/>
      <c r="R9" s="503"/>
      <c r="S9" s="503"/>
      <c r="T9" s="503"/>
      <c r="U9" s="503"/>
      <c r="AA9" s="152"/>
    </row>
    <row r="10" spans="1:28" s="58" customFormat="1">
      <c r="A10" s="86" t="s">
        <v>39</v>
      </c>
      <c r="B10" s="580">
        <f>'C.E. Riclassificato'!B63</f>
        <v>25110</v>
      </c>
      <c r="C10" s="493">
        <f t="shared" ref="C10:C29" si="0">B10/B$29</f>
        <v>1.1094698870696626E-2</v>
      </c>
      <c r="D10" s="504"/>
      <c r="E10" s="494"/>
      <c r="F10" s="504"/>
      <c r="G10" s="494"/>
      <c r="H10" s="504"/>
      <c r="I10" s="494"/>
      <c r="J10" s="504"/>
      <c r="K10" s="494"/>
      <c r="L10" s="504"/>
      <c r="M10" s="494"/>
      <c r="N10" s="502"/>
      <c r="O10" s="490"/>
      <c r="P10" s="601"/>
      <c r="Q10" s="505"/>
      <c r="R10" s="505"/>
      <c r="S10" s="505"/>
      <c r="T10" s="505"/>
      <c r="U10" s="505"/>
      <c r="AA10" s="152"/>
    </row>
    <row r="11" spans="1:28" s="58" customFormat="1">
      <c r="A11" s="86" t="s">
        <v>124</v>
      </c>
      <c r="B11" s="580">
        <f>'C.E. Riclassificato'!B64</f>
        <v>101500</v>
      </c>
      <c r="C11" s="493">
        <f t="shared" si="0"/>
        <v>4.4847149955225311E-2</v>
      </c>
      <c r="D11" s="504"/>
      <c r="E11" s="494"/>
      <c r="F11" s="504"/>
      <c r="G11" s="494"/>
      <c r="H11" s="504"/>
      <c r="I11" s="494"/>
      <c r="J11" s="504"/>
      <c r="K11" s="494"/>
      <c r="L11" s="504"/>
      <c r="M11" s="494"/>
      <c r="N11" s="502"/>
      <c r="O11" s="490"/>
      <c r="P11" s="601"/>
      <c r="Q11" s="505"/>
      <c r="R11" s="505"/>
      <c r="S11" s="505"/>
      <c r="T11" s="505"/>
      <c r="U11" s="505"/>
      <c r="AA11" s="152"/>
    </row>
    <row r="12" spans="1:28" s="58" customFormat="1">
      <c r="A12" s="86" t="s">
        <v>121</v>
      </c>
      <c r="B12" s="580">
        <f>'C.E. Riclassificato'!B65</f>
        <v>60950</v>
      </c>
      <c r="C12" s="493">
        <f t="shared" si="0"/>
        <v>2.6930382165231356E-2</v>
      </c>
      <c r="D12" s="504"/>
      <c r="E12" s="494"/>
      <c r="F12" s="504"/>
      <c r="G12" s="494"/>
      <c r="H12" s="504"/>
      <c r="I12" s="494"/>
      <c r="J12" s="504"/>
      <c r="K12" s="494"/>
      <c r="L12" s="504"/>
      <c r="M12" s="494"/>
      <c r="N12" s="502"/>
      <c r="O12" s="490"/>
      <c r="P12" s="601"/>
      <c r="Q12" s="505"/>
      <c r="R12" s="505"/>
      <c r="S12" s="505"/>
      <c r="T12" s="505"/>
      <c r="U12" s="505"/>
      <c r="AA12" s="152"/>
    </row>
    <row r="13" spans="1:28" s="58" customFormat="1">
      <c r="A13" s="86" t="s">
        <v>122</v>
      </c>
      <c r="B13" s="580">
        <f>'C.E. Riclassificato'!B66</f>
        <v>31300</v>
      </c>
      <c r="C13" s="493">
        <f t="shared" si="0"/>
        <v>1.3829712252202486E-2</v>
      </c>
      <c r="D13" s="504"/>
      <c r="E13" s="494"/>
      <c r="F13" s="504"/>
      <c r="G13" s="494"/>
      <c r="H13" s="504"/>
      <c r="I13" s="494"/>
      <c r="J13" s="504"/>
      <c r="K13" s="494"/>
      <c r="L13" s="504"/>
      <c r="M13" s="494"/>
      <c r="N13" s="502"/>
      <c r="O13" s="490"/>
      <c r="P13" s="601"/>
      <c r="Q13" s="505"/>
      <c r="R13" s="505"/>
      <c r="S13" s="505"/>
      <c r="T13" s="505"/>
      <c r="U13" s="505"/>
      <c r="AA13" s="152"/>
    </row>
    <row r="14" spans="1:28" s="58" customFormat="1">
      <c r="A14" s="86" t="s">
        <v>40</v>
      </c>
      <c r="B14" s="580">
        <f>'C.E. Riclassificato'!B67</f>
        <v>36550</v>
      </c>
      <c r="C14" s="493">
        <f t="shared" si="0"/>
        <v>1.6149392422300346E-2</v>
      </c>
      <c r="D14" s="504"/>
      <c r="E14" s="494"/>
      <c r="F14" s="504"/>
      <c r="G14" s="494"/>
      <c r="H14" s="504"/>
      <c r="I14" s="494"/>
      <c r="J14" s="504"/>
      <c r="K14" s="494"/>
      <c r="L14" s="504"/>
      <c r="M14" s="494"/>
      <c r="N14" s="502"/>
      <c r="O14" s="490"/>
      <c r="P14" s="601"/>
      <c r="Q14" s="505"/>
      <c r="R14" s="505"/>
      <c r="S14" s="505"/>
      <c r="T14" s="505"/>
      <c r="U14" s="505"/>
      <c r="AA14" s="152"/>
    </row>
    <row r="15" spans="1:28" s="58" customFormat="1">
      <c r="A15" s="86" t="s">
        <v>126</v>
      </c>
      <c r="B15" s="580">
        <f>'C.E. Riclassificato'!B68</f>
        <v>8500</v>
      </c>
      <c r="C15" s="493">
        <f t="shared" si="0"/>
        <v>3.7556726563489178E-3</v>
      </c>
      <c r="D15" s="504"/>
      <c r="E15" s="494"/>
      <c r="F15" s="504"/>
      <c r="G15" s="494"/>
      <c r="H15" s="504"/>
      <c r="I15" s="494"/>
      <c r="J15" s="504"/>
      <c r="K15" s="494"/>
      <c r="L15" s="504"/>
      <c r="M15" s="494"/>
      <c r="N15" s="502"/>
      <c r="O15" s="490"/>
      <c r="P15" s="601"/>
      <c r="Q15" s="505"/>
      <c r="R15" s="505"/>
      <c r="S15" s="505"/>
      <c r="T15" s="505"/>
      <c r="U15" s="505"/>
      <c r="AA15" s="152"/>
    </row>
    <row r="16" spans="1:28" s="58" customFormat="1">
      <c r="A16" s="86" t="s">
        <v>125</v>
      </c>
      <c r="B16" s="580">
        <f>'C.E. Riclassificato'!B69</f>
        <v>72600</v>
      </c>
      <c r="C16" s="493">
        <f t="shared" si="0"/>
        <v>3.207786292363899E-2</v>
      </c>
      <c r="D16" s="504"/>
      <c r="E16" s="494"/>
      <c r="F16" s="504"/>
      <c r="G16" s="494"/>
      <c r="H16" s="504"/>
      <c r="I16" s="494"/>
      <c r="J16" s="504"/>
      <c r="K16" s="494"/>
      <c r="L16" s="504"/>
      <c r="M16" s="494"/>
      <c r="N16" s="502"/>
      <c r="O16" s="490"/>
      <c r="P16" s="601"/>
      <c r="Q16" s="505"/>
      <c r="R16" s="505"/>
      <c r="S16" s="505"/>
      <c r="T16" s="505"/>
      <c r="U16" s="505"/>
      <c r="AA16" s="152"/>
    </row>
    <row r="17" spans="1:27" s="58" customFormat="1">
      <c r="A17" s="86" t="s">
        <v>123</v>
      </c>
      <c r="B17" s="580">
        <f>'C.E. Riclassificato'!B70</f>
        <v>120000</v>
      </c>
      <c r="C17" s="493">
        <f t="shared" si="0"/>
        <v>5.3021261030808252E-2</v>
      </c>
      <c r="D17" s="504"/>
      <c r="E17" s="494"/>
      <c r="F17" s="504"/>
      <c r="G17" s="494"/>
      <c r="H17" s="504"/>
      <c r="I17" s="494"/>
      <c r="J17" s="504"/>
      <c r="K17" s="494"/>
      <c r="L17" s="504"/>
      <c r="M17" s="494"/>
      <c r="N17" s="502"/>
      <c r="O17" s="490"/>
      <c r="P17" s="601"/>
      <c r="Q17" s="505"/>
      <c r="R17" s="505"/>
      <c r="S17" s="505"/>
      <c r="T17" s="505"/>
      <c r="U17" s="505"/>
      <c r="AA17" s="152"/>
    </row>
    <row r="18" spans="1:27" s="58" customFormat="1">
      <c r="A18" s="86" t="s">
        <v>41</v>
      </c>
      <c r="B18" s="580">
        <f>'C.E. Riclassificato'!B71</f>
        <v>37500</v>
      </c>
      <c r="C18" s="493">
        <f t="shared" si="0"/>
        <v>1.6569144072127579E-2</v>
      </c>
      <c r="D18" s="103"/>
      <c r="E18" s="494"/>
      <c r="F18" s="103"/>
      <c r="G18" s="494"/>
      <c r="H18" s="103"/>
      <c r="I18" s="494"/>
      <c r="J18" s="103"/>
      <c r="K18" s="494"/>
      <c r="L18" s="103"/>
      <c r="M18" s="494"/>
      <c r="N18" s="502"/>
      <c r="O18" s="490"/>
      <c r="P18" s="601"/>
      <c r="Q18" s="505"/>
      <c r="R18" s="505"/>
      <c r="S18" s="505"/>
      <c r="T18" s="505"/>
      <c r="U18" s="505"/>
      <c r="AA18" s="152"/>
    </row>
    <row r="19" spans="1:27" s="58" customFormat="1">
      <c r="A19" s="86" t="s">
        <v>42</v>
      </c>
      <c r="B19" s="580">
        <f>'C.E. Riclassificato'!B72</f>
        <v>27488</v>
      </c>
      <c r="C19" s="493">
        <f t="shared" si="0"/>
        <v>1.2145403526790477E-2</v>
      </c>
      <c r="D19" s="504"/>
      <c r="E19" s="494"/>
      <c r="F19" s="504"/>
      <c r="G19" s="494"/>
      <c r="H19" s="504"/>
      <c r="I19" s="494"/>
      <c r="J19" s="504"/>
      <c r="K19" s="494"/>
      <c r="L19" s="504"/>
      <c r="M19" s="494"/>
      <c r="N19" s="502"/>
      <c r="O19" s="490"/>
      <c r="P19" s="601"/>
      <c r="Q19" s="505"/>
      <c r="R19" s="505"/>
      <c r="S19" s="505"/>
      <c r="T19" s="505"/>
      <c r="U19" s="505"/>
      <c r="AA19" s="152"/>
    </row>
    <row r="20" spans="1:27" s="58" customFormat="1">
      <c r="A20" s="86" t="s">
        <v>43</v>
      </c>
      <c r="B20" s="580">
        <f>'C.E. Riclassificato'!B73</f>
        <v>35456</v>
      </c>
      <c r="C20" s="493">
        <f t="shared" si="0"/>
        <v>1.5666015259236145E-2</v>
      </c>
      <c r="D20" s="504"/>
      <c r="E20" s="494"/>
      <c r="F20" s="504"/>
      <c r="G20" s="494"/>
      <c r="H20" s="504"/>
      <c r="I20" s="494"/>
      <c r="J20" s="504"/>
      <c r="K20" s="494"/>
      <c r="L20" s="504"/>
      <c r="M20" s="494"/>
      <c r="N20" s="502"/>
      <c r="O20" s="490"/>
      <c r="P20" s="601"/>
      <c r="Q20" s="505"/>
      <c r="R20" s="505"/>
      <c r="S20" s="505"/>
      <c r="T20" s="505"/>
      <c r="U20" s="505"/>
      <c r="AA20" s="152"/>
    </row>
    <row r="21" spans="1:27" s="58" customFormat="1">
      <c r="A21" s="86" t="s">
        <v>127</v>
      </c>
      <c r="B21" s="580">
        <f>'C.E. Riclassificato'!B74</f>
        <v>35500</v>
      </c>
      <c r="C21" s="493">
        <f t="shared" si="0"/>
        <v>1.5685456388280773E-2</v>
      </c>
      <c r="D21" s="504"/>
      <c r="E21" s="494"/>
      <c r="F21" s="504"/>
      <c r="G21" s="494"/>
      <c r="H21" s="504"/>
      <c r="I21" s="494"/>
      <c r="J21" s="504"/>
      <c r="K21" s="494"/>
      <c r="L21" s="504"/>
      <c r="M21" s="494"/>
      <c r="N21" s="502"/>
      <c r="O21" s="490"/>
      <c r="P21" s="601"/>
      <c r="Q21" s="505"/>
      <c r="R21" s="505"/>
      <c r="S21" s="505"/>
      <c r="T21" s="505"/>
      <c r="U21" s="505"/>
      <c r="AA21" s="152"/>
    </row>
    <row r="22" spans="1:27" s="58" customFormat="1">
      <c r="A22" s="86" t="s">
        <v>46</v>
      </c>
      <c r="B22" s="580">
        <f>'C.E. Riclassificato'!B75</f>
        <v>73500</v>
      </c>
      <c r="C22" s="493">
        <f t="shared" si="0"/>
        <v>3.2475522381370053E-2</v>
      </c>
      <c r="D22" s="504"/>
      <c r="E22" s="494"/>
      <c r="F22" s="504"/>
      <c r="G22" s="494"/>
      <c r="H22" s="504"/>
      <c r="I22" s="494"/>
      <c r="J22" s="504"/>
      <c r="K22" s="494"/>
      <c r="L22" s="504"/>
      <c r="M22" s="494"/>
      <c r="N22" s="502"/>
      <c r="O22" s="490"/>
      <c r="P22" s="601"/>
      <c r="Q22" s="505"/>
      <c r="R22" s="505"/>
      <c r="S22" s="505"/>
      <c r="T22" s="505"/>
      <c r="U22" s="505"/>
      <c r="AA22" s="152"/>
    </row>
    <row r="23" spans="1:27" s="58" customFormat="1">
      <c r="A23" s="86" t="s">
        <v>128</v>
      </c>
      <c r="B23" s="580">
        <f>'C.E. Riclassificato'!B76</f>
        <v>72100</v>
      </c>
      <c r="C23" s="493">
        <f t="shared" si="0"/>
        <v>3.1856941002677289E-2</v>
      </c>
      <c r="D23" s="504"/>
      <c r="E23" s="494"/>
      <c r="F23" s="504"/>
      <c r="G23" s="494"/>
      <c r="H23" s="504"/>
      <c r="I23" s="494"/>
      <c r="J23" s="504"/>
      <c r="K23" s="494"/>
      <c r="L23" s="504"/>
      <c r="M23" s="494"/>
      <c r="N23" s="502"/>
      <c r="O23" s="490"/>
      <c r="P23" s="601"/>
      <c r="Q23" s="505"/>
      <c r="R23" s="505"/>
      <c r="S23" s="505"/>
      <c r="T23" s="505"/>
      <c r="U23" s="505"/>
      <c r="AA23" s="152"/>
    </row>
    <row r="24" spans="1:27" s="58" customFormat="1">
      <c r="A24" s="86" t="s">
        <v>44</v>
      </c>
      <c r="B24" s="580">
        <f>'C.E. Riclassificato'!B77</f>
        <v>110000</v>
      </c>
      <c r="C24" s="493">
        <f t="shared" si="0"/>
        <v>4.8602822611574233E-2</v>
      </c>
      <c r="D24" s="504"/>
      <c r="E24" s="494"/>
      <c r="F24" s="504"/>
      <c r="G24" s="494"/>
      <c r="H24" s="504"/>
      <c r="I24" s="494"/>
      <c r="J24" s="504"/>
      <c r="K24" s="494"/>
      <c r="L24" s="504"/>
      <c r="M24" s="494"/>
      <c r="N24" s="502"/>
      <c r="O24" s="490"/>
      <c r="P24" s="601"/>
      <c r="Q24" s="505"/>
      <c r="R24" s="505"/>
      <c r="S24" s="505"/>
      <c r="T24" s="505"/>
      <c r="U24" s="505"/>
      <c r="AA24" s="152"/>
    </row>
    <row r="25" spans="1:27" s="58" customFormat="1">
      <c r="A25" s="86" t="s">
        <v>45</v>
      </c>
      <c r="B25" s="580">
        <f>'C.E. Riclassificato'!B78</f>
        <v>122300</v>
      </c>
      <c r="C25" s="493">
        <f t="shared" si="0"/>
        <v>5.4037501867232073E-2</v>
      </c>
      <c r="D25" s="504"/>
      <c r="E25" s="494"/>
      <c r="F25" s="504"/>
      <c r="G25" s="494"/>
      <c r="H25" s="504"/>
      <c r="I25" s="494"/>
      <c r="J25" s="504"/>
      <c r="K25" s="494"/>
      <c r="L25" s="504"/>
      <c r="M25" s="494"/>
      <c r="N25" s="502"/>
      <c r="O25" s="490"/>
      <c r="P25" s="601"/>
      <c r="Q25" s="505"/>
      <c r="R25" s="505"/>
      <c r="S25" s="505"/>
      <c r="T25" s="505"/>
      <c r="U25" s="505"/>
      <c r="AA25" s="152"/>
    </row>
    <row r="26" spans="1:27" s="58" customFormat="1">
      <c r="A26" s="86" t="s">
        <v>23</v>
      </c>
      <c r="B26" s="581">
        <f>INPUT!E120</f>
        <v>556759.02</v>
      </c>
      <c r="C26" s="493">
        <f t="shared" si="0"/>
        <v>0.24600054442230826</v>
      </c>
      <c r="D26" s="103"/>
      <c r="E26" s="494"/>
      <c r="F26" s="103"/>
      <c r="G26" s="494"/>
      <c r="H26" s="103"/>
      <c r="I26" s="494"/>
      <c r="J26" s="103"/>
      <c r="K26" s="494"/>
      <c r="L26" s="103"/>
      <c r="M26" s="494"/>
      <c r="N26" s="502"/>
      <c r="P26" s="601"/>
      <c r="Q26" s="505"/>
      <c r="R26" s="505"/>
      <c r="S26" s="505"/>
      <c r="T26" s="505"/>
      <c r="U26" s="505"/>
    </row>
    <row r="27" spans="1:27" s="58" customFormat="1">
      <c r="A27" s="86" t="s">
        <v>47</v>
      </c>
      <c r="B27" s="581">
        <f>INPUT!E121</f>
        <v>123976.02</v>
      </c>
      <c r="C27" s="493">
        <f t="shared" si="0"/>
        <v>5.4778040983172537E-2</v>
      </c>
      <c r="D27" s="103"/>
      <c r="E27" s="494"/>
      <c r="F27" s="103"/>
      <c r="G27" s="494"/>
      <c r="H27" s="103"/>
      <c r="I27" s="494"/>
      <c r="J27" s="103"/>
      <c r="K27" s="494"/>
      <c r="L27" s="103"/>
      <c r="M27" s="494"/>
      <c r="N27" s="502"/>
      <c r="P27" s="601"/>
      <c r="Q27" s="505"/>
      <c r="R27" s="505"/>
      <c r="S27" s="505"/>
      <c r="T27" s="505"/>
      <c r="U27" s="505"/>
      <c r="AA27" s="152"/>
    </row>
    <row r="28" spans="1:27" s="58" customFormat="1">
      <c r="A28" s="86" t="s">
        <v>48</v>
      </c>
      <c r="B28" s="581">
        <f>INPUT!E122</f>
        <v>17953</v>
      </c>
      <c r="C28" s="493">
        <f t="shared" si="0"/>
        <v>7.9324224940508382E-3</v>
      </c>
      <c r="D28" s="103"/>
      <c r="E28" s="494"/>
      <c r="F28" s="103"/>
      <c r="G28" s="494"/>
      <c r="H28" s="103"/>
      <c r="I28" s="494"/>
      <c r="J28" s="103"/>
      <c r="K28" s="494"/>
      <c r="L28" s="103"/>
      <c r="M28" s="494"/>
      <c r="N28" s="502"/>
      <c r="P28" s="601"/>
      <c r="Q28" s="505"/>
      <c r="R28" s="505"/>
      <c r="S28" s="505"/>
      <c r="T28" s="505"/>
      <c r="U28" s="505"/>
      <c r="AA28" s="152"/>
    </row>
    <row r="29" spans="1:27" s="58" customFormat="1">
      <c r="A29" s="91" t="s">
        <v>50</v>
      </c>
      <c r="B29" s="582">
        <f>SUM(B9:B28)</f>
        <v>2263243.04</v>
      </c>
      <c r="C29" s="495">
        <f t="shared" si="0"/>
        <v>1</v>
      </c>
      <c r="D29" s="490"/>
      <c r="E29" s="494"/>
      <c r="F29" s="490"/>
      <c r="G29" s="494"/>
      <c r="H29" s="490"/>
      <c r="I29" s="494"/>
      <c r="J29" s="490"/>
      <c r="K29" s="494"/>
      <c r="L29" s="490"/>
      <c r="M29" s="494"/>
      <c r="N29" s="502"/>
      <c r="O29" s="490"/>
      <c r="P29" s="598"/>
      <c r="Q29" s="507"/>
      <c r="R29" s="507"/>
      <c r="S29" s="507"/>
      <c r="T29" s="507"/>
      <c r="U29" s="507"/>
      <c r="AA29" s="152"/>
    </row>
    <row r="30" spans="1:27" s="58" customFormat="1">
      <c r="A30" s="91" t="s">
        <v>51</v>
      </c>
      <c r="B30" s="582">
        <f>B6+B29</f>
        <v>7125329.1129639996</v>
      </c>
      <c r="C30" s="508"/>
      <c r="D30" s="490"/>
      <c r="E30" s="494"/>
      <c r="F30" s="490"/>
      <c r="G30" s="494"/>
      <c r="H30" s="490"/>
      <c r="I30" s="494"/>
      <c r="J30" s="490"/>
      <c r="K30" s="494"/>
      <c r="L30" s="490"/>
      <c r="M30" s="494"/>
      <c r="N30" s="502"/>
      <c r="O30" s="490"/>
      <c r="P30" s="490"/>
      <c r="Q30" s="207"/>
      <c r="R30" s="207"/>
      <c r="S30" s="207"/>
      <c r="T30" s="207"/>
      <c r="U30" s="207"/>
      <c r="AA30" s="152"/>
    </row>
    <row r="31" spans="1:27" s="58" customFormat="1">
      <c r="A31" s="28"/>
      <c r="B31" s="207"/>
      <c r="C31" s="207"/>
      <c r="D31" s="207"/>
      <c r="E31" s="207"/>
      <c r="F31" s="207"/>
      <c r="G31" s="207"/>
      <c r="H31" s="207"/>
      <c r="I31" s="207"/>
      <c r="J31" s="207"/>
      <c r="K31" s="207"/>
      <c r="L31" s="207"/>
      <c r="M31" s="207"/>
      <c r="N31" s="509"/>
      <c r="P31" s="490"/>
      <c r="Q31" s="207"/>
      <c r="R31" s="207"/>
      <c r="S31" s="207"/>
      <c r="T31" s="207"/>
      <c r="U31" s="207"/>
      <c r="AA31" s="152"/>
    </row>
    <row r="32" spans="1:27" s="58" customFormat="1">
      <c r="A32" s="28"/>
      <c r="B32" s="207"/>
      <c r="C32" s="207"/>
      <c r="D32" s="207"/>
      <c r="E32" s="207"/>
      <c r="F32" s="207"/>
      <c r="G32" s="207"/>
      <c r="H32" s="207"/>
      <c r="I32" s="207"/>
      <c r="J32" s="207"/>
      <c r="K32" s="207"/>
      <c r="L32" s="207"/>
      <c r="M32" s="207"/>
      <c r="N32" s="509"/>
      <c r="P32" s="490"/>
      <c r="Q32" s="207"/>
      <c r="R32" s="207"/>
      <c r="S32" s="207"/>
      <c r="T32" s="207"/>
      <c r="U32" s="207"/>
      <c r="AA32" s="152"/>
    </row>
    <row r="33" spans="1:28" s="58" customFormat="1">
      <c r="A33" s="772" t="s">
        <v>253</v>
      </c>
      <c r="B33" s="772"/>
      <c r="C33" s="772"/>
      <c r="D33" s="207"/>
      <c r="E33" s="207"/>
      <c r="F33" s="207"/>
      <c r="G33" s="207"/>
      <c r="H33" s="207"/>
      <c r="I33" s="207"/>
      <c r="J33" s="207"/>
      <c r="K33" s="207"/>
      <c r="L33" s="207"/>
      <c r="M33" s="207"/>
      <c r="N33" s="509"/>
      <c r="P33" s="490"/>
      <c r="Q33" s="207"/>
      <c r="R33" s="207"/>
      <c r="S33" s="207"/>
      <c r="T33" s="207"/>
      <c r="U33" s="207"/>
      <c r="AA33" s="152"/>
    </row>
    <row r="34" spans="1:28" s="58" customFormat="1">
      <c r="A34" s="731" t="s">
        <v>325</v>
      </c>
      <c r="B34" s="526"/>
      <c r="C34" s="526"/>
      <c r="D34" s="207"/>
      <c r="E34" s="207"/>
      <c r="F34" s="207"/>
      <c r="G34" s="207"/>
      <c r="H34" s="207"/>
      <c r="I34" s="207"/>
      <c r="J34" s="207"/>
      <c r="K34" s="207"/>
      <c r="L34" s="207"/>
      <c r="M34" s="207"/>
      <c r="N34" s="509"/>
      <c r="P34" s="490"/>
      <c r="Q34" s="207"/>
      <c r="R34" s="207"/>
      <c r="S34" s="207"/>
      <c r="T34" s="207"/>
      <c r="U34" s="207"/>
      <c r="AA34" s="152"/>
    </row>
    <row r="35" spans="1:28" s="58" customFormat="1">
      <c r="A35" s="522"/>
      <c r="B35" s="526"/>
      <c r="C35" s="526"/>
      <c r="D35" s="207"/>
      <c r="E35" s="207"/>
      <c r="F35" s="207"/>
      <c r="G35" s="207"/>
      <c r="H35" s="207"/>
      <c r="I35" s="207"/>
      <c r="J35" s="207"/>
      <c r="K35" s="207"/>
      <c r="L35" s="207"/>
      <c r="M35" s="207"/>
      <c r="N35" s="509"/>
      <c r="P35" s="490"/>
      <c r="Q35" s="207"/>
      <c r="R35" s="207"/>
      <c r="S35" s="207"/>
      <c r="T35" s="207"/>
      <c r="U35" s="207"/>
      <c r="AA35" s="152"/>
    </row>
    <row r="36" spans="1:28" s="58" customFormat="1">
      <c r="A36" s="527"/>
      <c r="B36" s="527"/>
      <c r="C36" s="527"/>
      <c r="P36" s="490"/>
      <c r="AB36" s="152"/>
    </row>
    <row r="37" spans="1:28" s="58" customFormat="1">
      <c r="A37" s="525" t="s">
        <v>247</v>
      </c>
      <c r="B37" s="527"/>
      <c r="C37" s="527"/>
      <c r="P37" s="490"/>
      <c r="AB37" s="152"/>
    </row>
    <row r="38" spans="1:28" s="58" customFormat="1">
      <c r="A38" s="528">
        <v>44926</v>
      </c>
      <c r="B38" s="734">
        <f>B29/B6</f>
        <v>0.4654880654180385</v>
      </c>
      <c r="C38" s="527"/>
      <c r="P38" s="490"/>
      <c r="AB38" s="152"/>
    </row>
    <row r="39" spans="1:28" s="58" customFormat="1">
      <c r="A39" s="527"/>
      <c r="B39" s="734"/>
      <c r="C39" s="527"/>
      <c r="P39" s="490"/>
      <c r="AB39" s="152"/>
    </row>
    <row r="40" spans="1:28" s="58" customFormat="1">
      <c r="A40" s="527"/>
      <c r="B40" s="735"/>
      <c r="C40" s="527"/>
      <c r="P40" s="490"/>
      <c r="AB40" s="152"/>
    </row>
    <row r="41" spans="1:28" s="58" customFormat="1">
      <c r="A41" s="525" t="s">
        <v>248</v>
      </c>
      <c r="B41" s="734"/>
      <c r="C41" s="527"/>
      <c r="P41" s="490"/>
      <c r="AB41" s="152"/>
    </row>
    <row r="42" spans="1:28" s="58" customFormat="1">
      <c r="A42" s="528">
        <v>44926</v>
      </c>
      <c r="B42" s="736">
        <f>C85/B6</f>
        <v>0.3723904523344308</v>
      </c>
      <c r="C42" s="527"/>
      <c r="P42" s="490"/>
      <c r="AB42" s="152"/>
    </row>
    <row r="43" spans="1:28" s="58" customFormat="1">
      <c r="A43" s="528"/>
      <c r="B43" s="735"/>
      <c r="C43" s="527"/>
      <c r="P43" s="490"/>
      <c r="AB43" s="152"/>
    </row>
    <row r="44" spans="1:28" s="58" customFormat="1">
      <c r="A44" s="528"/>
      <c r="B44" s="734"/>
      <c r="C44" s="527"/>
      <c r="G44" s="28"/>
      <c r="I44" s="28"/>
      <c r="P44" s="490"/>
      <c r="AB44" s="152"/>
    </row>
    <row r="45" spans="1:28" s="58" customFormat="1">
      <c r="A45" s="525" t="s">
        <v>249</v>
      </c>
      <c r="B45" s="735"/>
      <c r="C45" s="527"/>
      <c r="G45" s="513"/>
      <c r="I45" s="513"/>
      <c r="P45" s="490"/>
      <c r="AB45" s="152"/>
    </row>
    <row r="46" spans="1:28" s="58" customFormat="1">
      <c r="A46" s="528">
        <v>44926</v>
      </c>
      <c r="B46" s="736">
        <f>E85/B6</f>
        <v>9.30976130836077E-2</v>
      </c>
      <c r="C46" s="527"/>
      <c r="P46" s="490"/>
      <c r="AB46" s="152"/>
    </row>
    <row r="47" spans="1:28" s="58" customFormat="1">
      <c r="A47" s="602"/>
      <c r="B47" s="603"/>
      <c r="P47" s="490"/>
      <c r="AB47" s="152"/>
    </row>
    <row r="48" spans="1:28" s="58" customFormat="1">
      <c r="A48" s="510"/>
      <c r="B48" s="511"/>
      <c r="P48" s="490"/>
      <c r="AB48" s="152"/>
    </row>
    <row r="49" spans="1:36" ht="13.8" thickBot="1">
      <c r="AF49" s="58"/>
      <c r="AG49" s="58"/>
      <c r="AH49" s="58"/>
      <c r="AI49" s="58"/>
      <c r="AJ49" s="58"/>
    </row>
    <row r="50" spans="1:36" ht="14.4" thickTop="1" thickBot="1">
      <c r="A50" s="531" t="s">
        <v>317</v>
      </c>
      <c r="B50" s="532" t="s">
        <v>93</v>
      </c>
      <c r="C50" s="533" t="s">
        <v>3</v>
      </c>
      <c r="D50" s="532" t="s">
        <v>250</v>
      </c>
      <c r="E50" s="533" t="s">
        <v>94</v>
      </c>
      <c r="F50" s="533" t="s">
        <v>3</v>
      </c>
      <c r="G50" s="533" t="s">
        <v>95</v>
      </c>
      <c r="H50" s="533" t="s">
        <v>3</v>
      </c>
      <c r="I50" s="532" t="s">
        <v>96</v>
      </c>
      <c r="J50" s="534" t="s">
        <v>3</v>
      </c>
      <c r="K50" s="532" t="s">
        <v>251</v>
      </c>
      <c r="L50" s="533" t="s">
        <v>97</v>
      </c>
      <c r="M50" s="534" t="s">
        <v>3</v>
      </c>
      <c r="N50" s="533" t="s">
        <v>98</v>
      </c>
      <c r="O50" s="534" t="s">
        <v>3</v>
      </c>
      <c r="P50" s="535" t="s">
        <v>99</v>
      </c>
      <c r="Q50" s="533" t="s">
        <v>3</v>
      </c>
      <c r="R50" s="532" t="s">
        <v>246</v>
      </c>
      <c r="S50" s="533" t="s">
        <v>100</v>
      </c>
      <c r="T50" s="533" t="s">
        <v>3</v>
      </c>
      <c r="U50" s="533" t="s">
        <v>101</v>
      </c>
      <c r="V50" s="533" t="s">
        <v>3</v>
      </c>
      <c r="W50" s="533" t="s">
        <v>102</v>
      </c>
      <c r="X50" s="533" t="s">
        <v>3</v>
      </c>
      <c r="Y50" s="533" t="s">
        <v>103</v>
      </c>
      <c r="Z50" s="533" t="s">
        <v>3</v>
      </c>
      <c r="AA50" s="532" t="s">
        <v>104</v>
      </c>
      <c r="AB50" s="534" t="s">
        <v>3</v>
      </c>
      <c r="AC50" s="536" t="s">
        <v>3</v>
      </c>
      <c r="AF50" s="58"/>
      <c r="AG50" s="58"/>
      <c r="AH50" s="58"/>
      <c r="AI50" s="58"/>
      <c r="AJ50" s="58"/>
    </row>
    <row r="51" spans="1:36" ht="13.8" thickTop="1" thickBot="1">
      <c r="A51" s="537" t="s">
        <v>73</v>
      </c>
      <c r="B51" s="583">
        <f>'Scheda Ricavi'!B19</f>
        <v>2318583.2000000002</v>
      </c>
      <c r="C51" s="538">
        <f>B51/B$53</f>
        <v>0.68257701450438091</v>
      </c>
      <c r="D51" s="539">
        <f>B$38</f>
        <v>0.4654880654180385</v>
      </c>
      <c r="E51" s="583">
        <f>B4*D51</f>
        <v>1134568.5575179476</v>
      </c>
      <c r="F51" s="540">
        <f>E51/E$53</f>
        <v>0.50130213037922222</v>
      </c>
      <c r="G51" s="583">
        <f>B4</f>
        <v>2437374.106464</v>
      </c>
      <c r="H51" s="540">
        <f>G51/G$53</f>
        <v>0.50130213037922233</v>
      </c>
      <c r="I51" s="583">
        <f>E51+G51</f>
        <v>3571942.6639819476</v>
      </c>
      <c r="J51" s="538">
        <f>I51/I$53</f>
        <v>0.50130213037922222</v>
      </c>
      <c r="K51" s="541">
        <f>B$42</f>
        <v>0.3723904523344308</v>
      </c>
      <c r="L51" s="583">
        <f>B4*K51</f>
        <v>907654.84601435799</v>
      </c>
      <c r="M51" s="542">
        <f>L51/L$53</f>
        <v>0.50130213037922222</v>
      </c>
      <c r="N51" s="583">
        <f>C60</f>
        <v>487474.82129280001</v>
      </c>
      <c r="O51" s="538">
        <f>N51/N$53</f>
        <v>0.50130213037922233</v>
      </c>
      <c r="P51" s="583">
        <f>L51+N51</f>
        <v>1395129.667307158</v>
      </c>
      <c r="Q51" s="538">
        <f>P51/P$53</f>
        <v>0.50130213037922222</v>
      </c>
      <c r="R51" s="541">
        <f>B$46</f>
        <v>9.30976130836077E-2</v>
      </c>
      <c r="S51" s="586">
        <f>B4*R51</f>
        <v>226913.7115035895</v>
      </c>
      <c r="T51" s="544">
        <f>S51/S$53</f>
        <v>0.50130213037922222</v>
      </c>
      <c r="U51" s="586">
        <f>E60</f>
        <v>1949899.2851712001</v>
      </c>
      <c r="V51" s="544">
        <f>U51/U$53</f>
        <v>0.50130213037922233</v>
      </c>
      <c r="W51" s="586">
        <f>S51+U51</f>
        <v>2176812.9966747896</v>
      </c>
      <c r="X51" s="544">
        <f>W51/W$53</f>
        <v>0.50130213037922233</v>
      </c>
      <c r="Y51" s="586">
        <f>B51-W51</f>
        <v>141770.2033252106</v>
      </c>
      <c r="Z51" s="544">
        <f>Y51/Y$53</f>
        <v>-0.14994057527253538</v>
      </c>
      <c r="AA51" s="586">
        <f>Y51-P51</f>
        <v>-1253359.4639819474</v>
      </c>
      <c r="AB51" s="543" t="e">
        <f>AA51/#REF!</f>
        <v>#REF!</v>
      </c>
      <c r="AC51" s="544">
        <f>AA51/AA$53</f>
        <v>0.33615460211689813</v>
      </c>
      <c r="AF51" s="58"/>
      <c r="AG51" s="58"/>
      <c r="AH51" s="58"/>
      <c r="AI51" s="58"/>
      <c r="AJ51" s="58"/>
    </row>
    <row r="52" spans="1:36" ht="13.8" thickTop="1" thickBot="1">
      <c r="A52" s="537" t="s">
        <v>69</v>
      </c>
      <c r="B52" s="583">
        <f>'Scheda Ricavi'!B23</f>
        <v>1078225</v>
      </c>
      <c r="C52" s="538">
        <f>B52/B$53</f>
        <v>0.31742298549561909</v>
      </c>
      <c r="D52" s="539">
        <f>B$38</f>
        <v>0.4654880654180385</v>
      </c>
      <c r="E52" s="583">
        <f>B5*D52</f>
        <v>1128674.4824820529</v>
      </c>
      <c r="F52" s="540">
        <f>E52/E$53</f>
        <v>0.49869786962077772</v>
      </c>
      <c r="G52" s="583">
        <f>B5</f>
        <v>2424711.9665000001</v>
      </c>
      <c r="H52" s="540">
        <f>G52/G$53</f>
        <v>0.49869786962077778</v>
      </c>
      <c r="I52" s="583">
        <f>E52+G52</f>
        <v>3553386.448982053</v>
      </c>
      <c r="J52" s="538">
        <f>I52/I$53</f>
        <v>0.49869786962077772</v>
      </c>
      <c r="K52" s="541">
        <f>B$42</f>
        <v>0.3723904523344308</v>
      </c>
      <c r="L52" s="583">
        <f>B5*K52</f>
        <v>902939.58598564228</v>
      </c>
      <c r="M52" s="542">
        <f>L52/L$53</f>
        <v>0.49869786962077772</v>
      </c>
      <c r="N52" s="583">
        <f>C61</f>
        <v>484942.39330000005</v>
      </c>
      <c r="O52" s="538">
        <f>N52/N$53</f>
        <v>0.49869786962077778</v>
      </c>
      <c r="P52" s="583">
        <f>L52+N52</f>
        <v>1387881.9792856423</v>
      </c>
      <c r="Q52" s="538">
        <f>P52/P$53</f>
        <v>0.49869786962077767</v>
      </c>
      <c r="R52" s="541">
        <f>B$46</f>
        <v>9.30976130836077E-2</v>
      </c>
      <c r="S52" s="586">
        <f>B5*R52</f>
        <v>225734.89649641057</v>
      </c>
      <c r="T52" s="544">
        <f>S52/S$53</f>
        <v>0.49869786962077772</v>
      </c>
      <c r="U52" s="586">
        <f>E61</f>
        <v>1939769.5732000002</v>
      </c>
      <c r="V52" s="544">
        <f>U52/U$53</f>
        <v>0.49869786962077778</v>
      </c>
      <c r="W52" s="586">
        <f>S52+U52</f>
        <v>2165504.4696964109</v>
      </c>
      <c r="X52" s="544">
        <f>W52/W$53</f>
        <v>0.49869786962077778</v>
      </c>
      <c r="Y52" s="586">
        <f>B52-W52</f>
        <v>-1087279.4696964109</v>
      </c>
      <c r="Z52" s="544">
        <f>Y52/Y$53</f>
        <v>1.1499405752725358</v>
      </c>
      <c r="AA52" s="586">
        <f>Y52-P52</f>
        <v>-2475161.4489820534</v>
      </c>
      <c r="AB52" s="543" t="e">
        <f>AA52/#REF!</f>
        <v>#REF!</v>
      </c>
      <c r="AC52" s="544">
        <f>AA52/AA$53</f>
        <v>0.66384539788310193</v>
      </c>
      <c r="AF52" s="58"/>
      <c r="AG52" s="58"/>
      <c r="AH52" s="58"/>
      <c r="AI52" s="58"/>
      <c r="AJ52" s="58"/>
    </row>
    <row r="53" spans="1:36" ht="14.4" thickTop="1" thickBot="1">
      <c r="A53" s="545" t="s">
        <v>191</v>
      </c>
      <c r="B53" s="584">
        <f>SUM(B51:B52)</f>
        <v>3396808.2</v>
      </c>
      <c r="C53" s="585">
        <f>B53/B$53</f>
        <v>1</v>
      </c>
      <c r="D53" s="546"/>
      <c r="E53" s="584">
        <f>SUM(E51:E52)</f>
        <v>2263243.0400000005</v>
      </c>
      <c r="F53" s="540">
        <f>E53/E$53</f>
        <v>1</v>
      </c>
      <c r="G53" s="584">
        <f>SUM(G51:G52)</f>
        <v>4862086.0729639996</v>
      </c>
      <c r="H53" s="540">
        <f>G53/G$53</f>
        <v>1</v>
      </c>
      <c r="I53" s="584">
        <f>I51+I52</f>
        <v>7125329.1129640006</v>
      </c>
      <c r="J53" s="538">
        <f>I53/I$53</f>
        <v>1</v>
      </c>
      <c r="K53" s="547"/>
      <c r="L53" s="584">
        <f>SUM(L51:L52)</f>
        <v>1810594.4320000003</v>
      </c>
      <c r="M53" s="542">
        <f>L53/L$53</f>
        <v>1</v>
      </c>
      <c r="N53" s="584">
        <f>SUM(N51:N52)</f>
        <v>972417.21459280001</v>
      </c>
      <c r="O53" s="538">
        <f>N53/N$53</f>
        <v>1</v>
      </c>
      <c r="P53" s="584">
        <f>L53+N53</f>
        <v>2783011.6465928005</v>
      </c>
      <c r="Q53" s="538">
        <f>P53/P$53</f>
        <v>1</v>
      </c>
      <c r="R53" s="548"/>
      <c r="S53" s="587">
        <f>SUM(S51:S52)</f>
        <v>452648.60800000007</v>
      </c>
      <c r="T53" s="588">
        <f>S53/S$53</f>
        <v>1</v>
      </c>
      <c r="U53" s="587">
        <f>SUM(U51:U52)</f>
        <v>3889668.8583712</v>
      </c>
      <c r="V53" s="588">
        <f>U53/U$53</f>
        <v>1</v>
      </c>
      <c r="W53" s="587">
        <f>S53+U53</f>
        <v>4342317.4663712</v>
      </c>
      <c r="X53" s="588">
        <f>W53/W$53</f>
        <v>1</v>
      </c>
      <c r="Y53" s="587">
        <f>B53-W53</f>
        <v>-945509.26637119986</v>
      </c>
      <c r="Z53" s="588">
        <f>Y53/Y$53</f>
        <v>1</v>
      </c>
      <c r="AA53" s="587">
        <f>Y53-P53</f>
        <v>-3728520.9129640004</v>
      </c>
      <c r="AB53" s="549" t="e">
        <f>AA53/#REF!</f>
        <v>#REF!</v>
      </c>
      <c r="AC53" s="588">
        <f>AA53/AA$53</f>
        <v>1</v>
      </c>
      <c r="AF53" s="58"/>
      <c r="AG53" s="58"/>
      <c r="AH53" s="58"/>
      <c r="AI53" s="58"/>
      <c r="AJ53" s="58"/>
    </row>
    <row r="54" spans="1:36" ht="13.8" thickTop="1">
      <c r="A54" s="28"/>
      <c r="B54" s="490"/>
      <c r="C54" s="513"/>
      <c r="D54" s="514"/>
      <c r="E54" s="604"/>
      <c r="F54" s="513"/>
      <c r="G54" s="490"/>
      <c r="H54" s="516"/>
      <c r="I54" s="490"/>
      <c r="J54" s="513"/>
      <c r="K54" s="138"/>
      <c r="L54" s="490"/>
      <c r="M54" s="513"/>
      <c r="N54" s="490"/>
      <c r="O54" s="513"/>
      <c r="Q54" s="513"/>
      <c r="R54" s="138"/>
      <c r="S54" s="490"/>
      <c r="T54" s="513"/>
      <c r="U54" s="605"/>
      <c r="V54" s="513"/>
      <c r="W54" s="604"/>
      <c r="X54" s="513"/>
      <c r="Y54" s="606"/>
      <c r="Z54" s="513"/>
      <c r="AA54" s="606"/>
      <c r="AB54" s="607"/>
      <c r="AC54" s="513"/>
      <c r="AF54" s="58"/>
      <c r="AG54" s="58"/>
      <c r="AH54" s="58"/>
      <c r="AI54" s="58"/>
      <c r="AJ54" s="58"/>
    </row>
    <row r="55" spans="1:36">
      <c r="A55" s="28"/>
      <c r="B55" s="207"/>
      <c r="C55" s="607"/>
      <c r="D55" s="514"/>
      <c r="E55" s="608"/>
      <c r="F55" s="607"/>
      <c r="G55" s="207"/>
      <c r="H55" s="609"/>
      <c r="I55" s="608"/>
      <c r="J55" s="607"/>
      <c r="K55" s="138"/>
      <c r="L55" s="605"/>
      <c r="M55" s="607"/>
      <c r="N55" s="605"/>
      <c r="O55" s="607"/>
      <c r="Q55" s="607"/>
      <c r="R55" s="138"/>
      <c r="S55" s="605"/>
      <c r="T55" s="607"/>
      <c r="U55" s="605"/>
      <c r="V55" s="607"/>
      <c r="W55" s="207"/>
      <c r="X55" s="607"/>
      <c r="Y55" s="610"/>
      <c r="Z55" s="607"/>
      <c r="AA55" s="610"/>
      <c r="AB55" s="607"/>
      <c r="AC55" s="607"/>
      <c r="AF55" s="58"/>
      <c r="AG55" s="58"/>
      <c r="AH55" s="58"/>
      <c r="AI55" s="58"/>
      <c r="AJ55" s="58"/>
    </row>
    <row r="56" spans="1:36">
      <c r="A56" s="28"/>
      <c r="B56" s="207"/>
      <c r="C56" s="607"/>
      <c r="D56" s="514"/>
      <c r="E56" s="608"/>
      <c r="F56" s="607"/>
      <c r="G56" s="207"/>
      <c r="H56" s="609"/>
      <c r="I56" s="608"/>
      <c r="J56" s="607"/>
      <c r="K56" s="138"/>
      <c r="L56" s="605"/>
      <c r="M56" s="607"/>
      <c r="N56" s="605"/>
      <c r="O56" s="607"/>
      <c r="Q56" s="607"/>
      <c r="R56" s="138"/>
      <c r="S56" s="605"/>
      <c r="T56" s="607"/>
      <c r="U56" s="605"/>
      <c r="V56" s="607"/>
      <c r="W56" s="207"/>
      <c r="X56" s="607"/>
      <c r="Y56" s="610"/>
      <c r="Z56" s="607"/>
      <c r="AA56" s="610"/>
      <c r="AB56" s="607"/>
      <c r="AC56" s="607"/>
      <c r="AF56" s="58"/>
      <c r="AG56" s="58"/>
      <c r="AH56" s="58"/>
      <c r="AI56" s="58"/>
      <c r="AJ56" s="58"/>
    </row>
    <row r="57" spans="1:36">
      <c r="A57" s="28"/>
      <c r="B57" s="207"/>
      <c r="C57" s="607"/>
      <c r="D57" s="514"/>
      <c r="E57" s="608"/>
      <c r="F57" s="607"/>
      <c r="G57" s="207"/>
      <c r="H57" s="609"/>
      <c r="I57" s="608"/>
      <c r="J57" s="607"/>
      <c r="K57" s="138"/>
      <c r="L57" s="605"/>
      <c r="M57" s="607"/>
      <c r="N57" s="605"/>
      <c r="O57" s="607"/>
      <c r="Q57" s="607"/>
      <c r="R57" s="138"/>
      <c r="S57" s="605"/>
      <c r="T57" s="607"/>
      <c r="U57" s="605"/>
      <c r="V57" s="607"/>
      <c r="W57" s="207"/>
      <c r="X57" s="607"/>
      <c r="Y57" s="610"/>
      <c r="Z57" s="607"/>
      <c r="AA57" s="610"/>
      <c r="AB57" s="607"/>
      <c r="AC57" s="607"/>
      <c r="AF57" s="58"/>
      <c r="AG57" s="58"/>
      <c r="AH57" s="58"/>
      <c r="AI57" s="58"/>
      <c r="AJ57" s="58"/>
    </row>
    <row r="58" spans="1:36" ht="13.8" thickBot="1">
      <c r="W58" s="611"/>
      <c r="Y58" s="103"/>
      <c r="AF58" s="58"/>
      <c r="AG58" s="58"/>
      <c r="AH58" s="58"/>
      <c r="AI58" s="58"/>
      <c r="AJ58" s="58"/>
    </row>
    <row r="59" spans="1:36" ht="14.4" thickTop="1" thickBot="1">
      <c r="A59" s="28" t="s">
        <v>192</v>
      </c>
      <c r="B59" s="589" t="s">
        <v>293</v>
      </c>
      <c r="C59" s="590" t="s">
        <v>294</v>
      </c>
      <c r="D59" s="561" t="s">
        <v>3</v>
      </c>
      <c r="E59" s="590" t="s">
        <v>295</v>
      </c>
      <c r="F59" s="561" t="s">
        <v>3</v>
      </c>
      <c r="G59" s="515"/>
      <c r="H59" s="516"/>
      <c r="I59" s="512"/>
      <c r="J59" s="513"/>
      <c r="K59" s="138"/>
      <c r="L59" s="517"/>
      <c r="M59" s="513"/>
      <c r="N59" s="518"/>
      <c r="O59" s="519"/>
      <c r="Q59" s="513"/>
      <c r="R59" s="138"/>
      <c r="S59" s="517"/>
      <c r="T59" s="513"/>
      <c r="U59" s="517"/>
      <c r="V59" s="513"/>
      <c r="W59" s="512"/>
      <c r="X59" s="513"/>
      <c r="Y59" s="520"/>
      <c r="Z59" s="513"/>
      <c r="AA59" s="520"/>
      <c r="AB59" s="521"/>
      <c r="AC59" s="513"/>
      <c r="AF59" s="58"/>
      <c r="AG59" s="58"/>
      <c r="AH59" s="58"/>
      <c r="AI59" s="58"/>
      <c r="AJ59" s="58"/>
    </row>
    <row r="60" spans="1:36" ht="14.4" thickTop="1" thickBot="1">
      <c r="A60" s="58" t="s">
        <v>73</v>
      </c>
      <c r="B60" s="591">
        <f>B4</f>
        <v>2437374.106464</v>
      </c>
      <c r="C60" s="591">
        <f>B60*D60</f>
        <v>487474.82129280001</v>
      </c>
      <c r="D60" s="562">
        <f>INPUT!E130</f>
        <v>0.2</v>
      </c>
      <c r="E60" s="591">
        <f>B60*F60</f>
        <v>1949899.2851712001</v>
      </c>
      <c r="F60" s="562">
        <f>INPUT!F130</f>
        <v>0.8</v>
      </c>
      <c r="G60" s="515"/>
      <c r="H60" s="516"/>
      <c r="I60" s="512"/>
      <c r="J60" s="513"/>
      <c r="K60" s="138"/>
      <c r="L60" s="517"/>
      <c r="M60" s="513"/>
      <c r="N60" s="518"/>
      <c r="O60" s="519"/>
      <c r="Q60" s="513"/>
      <c r="R60" s="138"/>
      <c r="S60" s="517"/>
      <c r="T60" s="513"/>
      <c r="U60" s="517"/>
      <c r="V60" s="513"/>
      <c r="W60" s="512"/>
      <c r="X60" s="513"/>
      <c r="Y60" s="520"/>
      <c r="Z60" s="513"/>
      <c r="AA60" s="520"/>
      <c r="AB60" s="521"/>
      <c r="AC60" s="513"/>
      <c r="AF60" s="58"/>
      <c r="AG60" s="58"/>
      <c r="AH60" s="58"/>
      <c r="AI60" s="58"/>
      <c r="AJ60" s="58"/>
    </row>
    <row r="61" spans="1:36" ht="14.4" thickTop="1" thickBot="1">
      <c r="A61" s="58" t="s">
        <v>69</v>
      </c>
      <c r="B61" s="591">
        <f>B5</f>
        <v>2424711.9665000001</v>
      </c>
      <c r="C61" s="591">
        <f>B61*D61</f>
        <v>484942.39330000005</v>
      </c>
      <c r="D61" s="562">
        <f>INPUT!E131</f>
        <v>0.2</v>
      </c>
      <c r="E61" s="591">
        <f>B61*F61</f>
        <v>1939769.5732000002</v>
      </c>
      <c r="F61" s="562">
        <f>INPUT!F131</f>
        <v>0.8</v>
      </c>
      <c r="G61" s="515"/>
      <c r="H61" s="516"/>
      <c r="I61" s="512"/>
      <c r="J61" s="513"/>
      <c r="K61" s="138"/>
      <c r="L61" s="517"/>
      <c r="M61" s="513"/>
      <c r="N61" s="518"/>
      <c r="O61" s="519"/>
      <c r="Q61" s="513"/>
      <c r="R61" s="138"/>
      <c r="S61" s="517"/>
      <c r="T61" s="513"/>
      <c r="U61" s="517"/>
      <c r="V61" s="513"/>
      <c r="W61" s="512"/>
      <c r="X61" s="513"/>
      <c r="Y61" s="520"/>
      <c r="Z61" s="513"/>
      <c r="AA61" s="520"/>
      <c r="AB61" s="521"/>
      <c r="AC61" s="513"/>
      <c r="AF61" s="58"/>
      <c r="AG61" s="58"/>
      <c r="AH61" s="58"/>
      <c r="AI61" s="58"/>
      <c r="AJ61" s="58"/>
    </row>
    <row r="62" spans="1:36" ht="14.4" thickTop="1" thickBot="1">
      <c r="A62" s="394" t="s">
        <v>2</v>
      </c>
      <c r="B62" s="592">
        <f>SUM(B60:B61)</f>
        <v>4862086.0729639996</v>
      </c>
      <c r="C62" s="592">
        <f>SUM(C60:C61)</f>
        <v>972417.21459280001</v>
      </c>
      <c r="D62" s="563"/>
      <c r="E62" s="592">
        <f>SUM(E60:E61)</f>
        <v>3889668.8583712</v>
      </c>
      <c r="F62" s="563"/>
      <c r="G62" s="515"/>
      <c r="H62" s="516"/>
      <c r="I62" s="512"/>
      <c r="J62" s="513"/>
      <c r="K62" s="138"/>
      <c r="L62" s="517"/>
      <c r="M62" s="513"/>
      <c r="N62" s="518"/>
      <c r="O62" s="519"/>
      <c r="Q62" s="513"/>
      <c r="R62" s="138"/>
      <c r="S62" s="517"/>
      <c r="T62" s="513"/>
      <c r="U62" s="517"/>
      <c r="V62" s="513"/>
      <c r="W62" s="512"/>
      <c r="X62" s="513"/>
      <c r="Y62" s="520"/>
      <c r="Z62" s="513"/>
      <c r="AA62" s="520"/>
      <c r="AB62" s="521"/>
      <c r="AC62" s="513"/>
      <c r="AF62" s="58"/>
      <c r="AG62" s="58"/>
      <c r="AH62" s="58"/>
      <c r="AI62" s="58"/>
      <c r="AJ62" s="58"/>
    </row>
    <row r="63" spans="1:36" ht="14.4" thickTop="1" thickBot="1">
      <c r="B63" s="565"/>
      <c r="C63" s="566"/>
      <c r="D63" s="567"/>
      <c r="E63" s="568"/>
      <c r="AF63" s="58"/>
      <c r="AG63" s="58"/>
      <c r="AH63" s="58"/>
      <c r="AI63" s="58"/>
      <c r="AJ63" s="58"/>
    </row>
    <row r="64" spans="1:36" ht="13.8" thickTop="1">
      <c r="A64" s="28" t="s">
        <v>300</v>
      </c>
      <c r="B64" s="569" t="s">
        <v>296</v>
      </c>
      <c r="C64" s="570" t="s">
        <v>297</v>
      </c>
      <c r="D64" s="571" t="s">
        <v>3</v>
      </c>
      <c r="E64" s="572" t="s">
        <v>298</v>
      </c>
      <c r="F64" s="573" t="s">
        <v>3</v>
      </c>
      <c r="AF64" s="58"/>
      <c r="AG64" s="58"/>
      <c r="AH64" s="58"/>
      <c r="AI64" s="58"/>
      <c r="AJ64" s="58"/>
    </row>
    <row r="65" spans="1:36" ht="13.8" thickBot="1">
      <c r="A65" s="527" t="s">
        <v>82</v>
      </c>
      <c r="B65" s="593">
        <f t="shared" ref="B65:B84" si="1">B9</f>
        <v>594201</v>
      </c>
      <c r="C65" s="593">
        <f>B65*D65</f>
        <v>475360.80000000005</v>
      </c>
      <c r="D65" s="574">
        <f>INPUT!E134</f>
        <v>0.8</v>
      </c>
      <c r="E65" s="593">
        <f t="shared" ref="E65:E84" si="2">F65*B65</f>
        <v>118840.20000000001</v>
      </c>
      <c r="F65" s="575">
        <f>INPUT!F134</f>
        <v>0.2</v>
      </c>
      <c r="G65" s="515"/>
      <c r="H65" s="516"/>
      <c r="I65" s="512"/>
      <c r="J65" s="513"/>
      <c r="K65" s="138"/>
      <c r="L65" s="517"/>
      <c r="M65" s="513"/>
      <c r="N65" s="518"/>
      <c r="O65" s="519"/>
      <c r="Q65" s="513"/>
      <c r="R65" s="138"/>
      <c r="S65" s="517"/>
      <c r="T65" s="513"/>
      <c r="U65" s="517"/>
      <c r="V65" s="513"/>
      <c r="W65" s="512"/>
      <c r="X65" s="513"/>
      <c r="Y65" s="520"/>
      <c r="Z65" s="513"/>
      <c r="AA65" s="520"/>
      <c r="AB65" s="521"/>
      <c r="AC65" s="513"/>
      <c r="AF65" s="58"/>
      <c r="AG65" s="58"/>
      <c r="AH65" s="58"/>
      <c r="AI65" s="58"/>
      <c r="AJ65" s="58"/>
    </row>
    <row r="66" spans="1:36" ht="14.4" thickTop="1" thickBot="1">
      <c r="A66" s="527" t="s">
        <v>83</v>
      </c>
      <c r="B66" s="593">
        <f t="shared" si="1"/>
        <v>25110</v>
      </c>
      <c r="C66" s="593">
        <f t="shared" ref="C66:C84" si="3">D66*B66</f>
        <v>20088</v>
      </c>
      <c r="D66" s="574">
        <f>INPUT!E135</f>
        <v>0.8</v>
      </c>
      <c r="E66" s="593">
        <f t="shared" si="2"/>
        <v>5022</v>
      </c>
      <c r="F66" s="575">
        <f>INPUT!F135</f>
        <v>0.2</v>
      </c>
      <c r="G66" s="515"/>
      <c r="H66" s="516"/>
      <c r="I66" s="512"/>
      <c r="J66" s="513"/>
      <c r="K66" s="138"/>
      <c r="L66" s="517"/>
      <c r="M66" s="513"/>
      <c r="N66" s="518"/>
      <c r="O66" s="519"/>
      <c r="Q66" s="513"/>
      <c r="R66" s="138"/>
      <c r="S66" s="517"/>
      <c r="T66" s="513"/>
      <c r="U66" s="517"/>
      <c r="V66" s="513"/>
      <c r="W66" s="512"/>
      <c r="X66" s="513"/>
      <c r="Y66" s="520"/>
      <c r="Z66" s="513"/>
      <c r="AA66" s="520"/>
      <c r="AB66" s="521"/>
      <c r="AC66" s="513"/>
      <c r="AF66" s="58"/>
      <c r="AG66" s="58"/>
      <c r="AH66" s="58"/>
      <c r="AI66" s="58"/>
      <c r="AJ66" s="58"/>
    </row>
    <row r="67" spans="1:36" ht="14.4" thickTop="1" thickBot="1">
      <c r="A67" s="527" t="s">
        <v>129</v>
      </c>
      <c r="B67" s="593">
        <f t="shared" si="1"/>
        <v>101500</v>
      </c>
      <c r="C67" s="593">
        <f t="shared" si="3"/>
        <v>81200</v>
      </c>
      <c r="D67" s="574">
        <f>INPUT!E136</f>
        <v>0.8</v>
      </c>
      <c r="E67" s="593">
        <f t="shared" si="2"/>
        <v>20300</v>
      </c>
      <c r="F67" s="575">
        <f>INPUT!F136</f>
        <v>0.2</v>
      </c>
      <c r="G67" s="515"/>
      <c r="H67" s="516"/>
      <c r="I67" s="512"/>
      <c r="J67" s="513"/>
      <c r="K67" s="138"/>
      <c r="L67" s="517"/>
      <c r="M67" s="513"/>
      <c r="N67" s="518"/>
      <c r="O67" s="519"/>
      <c r="Q67" s="513"/>
      <c r="R67" s="138"/>
      <c r="S67" s="517"/>
      <c r="T67" s="513"/>
      <c r="U67" s="517"/>
      <c r="V67" s="513"/>
      <c r="W67" s="512"/>
      <c r="X67" s="513"/>
      <c r="Y67" s="520"/>
      <c r="Z67" s="513"/>
      <c r="AA67" s="520"/>
      <c r="AB67" s="521"/>
      <c r="AC67" s="513"/>
      <c r="AF67" s="58"/>
      <c r="AG67" s="58"/>
      <c r="AH67" s="58"/>
      <c r="AI67" s="58"/>
      <c r="AJ67" s="58"/>
    </row>
    <row r="68" spans="1:36" ht="14.4" thickTop="1" thickBot="1">
      <c r="A68" s="527" t="s">
        <v>130</v>
      </c>
      <c r="B68" s="593">
        <f t="shared" si="1"/>
        <v>60950</v>
      </c>
      <c r="C68" s="593">
        <f t="shared" si="3"/>
        <v>48760</v>
      </c>
      <c r="D68" s="574">
        <f>INPUT!E137</f>
        <v>0.8</v>
      </c>
      <c r="E68" s="593">
        <f t="shared" si="2"/>
        <v>12190</v>
      </c>
      <c r="F68" s="575">
        <f>INPUT!F137</f>
        <v>0.2</v>
      </c>
      <c r="G68" s="515"/>
      <c r="H68" s="516"/>
      <c r="I68" s="512"/>
      <c r="J68" s="513"/>
      <c r="K68" s="138"/>
      <c r="L68" s="517"/>
      <c r="M68" s="513"/>
      <c r="N68" s="518"/>
      <c r="O68" s="519"/>
      <c r="Q68" s="513"/>
      <c r="R68" s="138"/>
      <c r="S68" s="517"/>
      <c r="T68" s="513"/>
      <c r="U68" s="517"/>
      <c r="V68" s="513"/>
      <c r="W68" s="512"/>
      <c r="X68" s="513"/>
      <c r="Y68" s="520"/>
      <c r="Z68" s="513"/>
      <c r="AA68" s="520"/>
      <c r="AB68" s="521"/>
      <c r="AC68" s="513"/>
      <c r="AF68" s="58"/>
      <c r="AG68" s="58"/>
      <c r="AH68" s="58"/>
      <c r="AI68" s="58"/>
      <c r="AJ68" s="58"/>
    </row>
    <row r="69" spans="1:36" ht="14.4" thickTop="1" thickBot="1">
      <c r="A69" s="527" t="s">
        <v>131</v>
      </c>
      <c r="B69" s="593">
        <f t="shared" si="1"/>
        <v>31300</v>
      </c>
      <c r="C69" s="593">
        <f t="shared" si="3"/>
        <v>25040</v>
      </c>
      <c r="D69" s="574">
        <f>INPUT!E138</f>
        <v>0.8</v>
      </c>
      <c r="E69" s="593">
        <f t="shared" si="2"/>
        <v>6260</v>
      </c>
      <c r="F69" s="575">
        <f>INPUT!F138</f>
        <v>0.2</v>
      </c>
      <c r="G69" s="515"/>
      <c r="H69" s="516"/>
      <c r="I69" s="512"/>
      <c r="J69" s="513"/>
      <c r="K69" s="138"/>
      <c r="L69" s="517"/>
      <c r="M69" s="513"/>
      <c r="N69" s="518"/>
      <c r="O69" s="519"/>
      <c r="Q69" s="513"/>
      <c r="R69" s="138"/>
      <c r="S69" s="517"/>
      <c r="T69" s="513"/>
      <c r="U69" s="517"/>
      <c r="V69" s="513"/>
      <c r="W69" s="512"/>
      <c r="X69" s="513"/>
      <c r="Y69" s="520"/>
      <c r="Z69" s="513"/>
      <c r="AA69" s="520"/>
      <c r="AB69" s="521"/>
      <c r="AC69" s="513"/>
      <c r="AF69" s="58"/>
      <c r="AG69" s="58"/>
      <c r="AH69" s="58"/>
      <c r="AI69" s="58"/>
      <c r="AJ69" s="58"/>
    </row>
    <row r="70" spans="1:36" ht="14.4" thickTop="1" thickBot="1">
      <c r="A70" s="527" t="s">
        <v>84</v>
      </c>
      <c r="B70" s="593">
        <f t="shared" si="1"/>
        <v>36550</v>
      </c>
      <c r="C70" s="593">
        <f t="shared" si="3"/>
        <v>29240</v>
      </c>
      <c r="D70" s="574">
        <f>INPUT!E139</f>
        <v>0.8</v>
      </c>
      <c r="E70" s="593">
        <f t="shared" si="2"/>
        <v>7310</v>
      </c>
      <c r="F70" s="575">
        <f>INPUT!F139</f>
        <v>0.2</v>
      </c>
      <c r="G70" s="515"/>
      <c r="H70" s="516"/>
      <c r="I70" s="512"/>
      <c r="J70" s="513"/>
      <c r="K70" s="138"/>
      <c r="L70" s="517"/>
      <c r="M70" s="513"/>
      <c r="N70" s="518"/>
      <c r="O70" s="519"/>
      <c r="Q70" s="513"/>
      <c r="R70" s="138"/>
      <c r="S70" s="517"/>
      <c r="T70" s="513"/>
      <c r="U70" s="517"/>
      <c r="V70" s="513"/>
      <c r="W70" s="512"/>
      <c r="X70" s="513"/>
      <c r="Y70" s="520"/>
      <c r="Z70" s="513"/>
      <c r="AA70" s="520"/>
      <c r="AB70" s="521"/>
      <c r="AC70" s="513"/>
      <c r="AF70" s="58"/>
      <c r="AG70" s="58"/>
      <c r="AH70" s="58"/>
      <c r="AI70" s="58"/>
      <c r="AJ70" s="58"/>
    </row>
    <row r="71" spans="1:36" ht="14.4" thickTop="1" thickBot="1">
      <c r="A71" s="527" t="s">
        <v>132</v>
      </c>
      <c r="B71" s="593">
        <f t="shared" si="1"/>
        <v>8500</v>
      </c>
      <c r="C71" s="593">
        <f t="shared" si="3"/>
        <v>6800</v>
      </c>
      <c r="D71" s="574">
        <f>INPUT!E140</f>
        <v>0.8</v>
      </c>
      <c r="E71" s="593">
        <f t="shared" si="2"/>
        <v>1700</v>
      </c>
      <c r="F71" s="575">
        <f>INPUT!F140</f>
        <v>0.2</v>
      </c>
      <c r="G71" s="515"/>
      <c r="H71" s="516"/>
      <c r="I71" s="512"/>
      <c r="J71" s="513"/>
      <c r="K71" s="138"/>
      <c r="L71" s="517"/>
      <c r="M71" s="513"/>
      <c r="N71" s="518"/>
      <c r="O71" s="519"/>
      <c r="Q71" s="513"/>
      <c r="R71" s="138"/>
      <c r="S71" s="517"/>
      <c r="T71" s="513"/>
      <c r="U71" s="517"/>
      <c r="V71" s="513"/>
      <c r="W71" s="512"/>
      <c r="X71" s="513"/>
      <c r="Y71" s="520"/>
      <c r="Z71" s="513"/>
      <c r="AA71" s="520"/>
      <c r="AB71" s="521"/>
      <c r="AC71" s="513"/>
      <c r="AF71" s="58"/>
      <c r="AG71" s="58"/>
      <c r="AH71" s="58"/>
      <c r="AI71" s="58"/>
      <c r="AJ71" s="58"/>
    </row>
    <row r="72" spans="1:36" ht="14.4" thickTop="1" thickBot="1">
      <c r="A72" s="527" t="s">
        <v>133</v>
      </c>
      <c r="B72" s="593">
        <f t="shared" si="1"/>
        <v>72600</v>
      </c>
      <c r="C72" s="593">
        <f t="shared" si="3"/>
        <v>58080</v>
      </c>
      <c r="D72" s="574">
        <f>INPUT!E141</f>
        <v>0.8</v>
      </c>
      <c r="E72" s="593">
        <f t="shared" si="2"/>
        <v>14520</v>
      </c>
      <c r="F72" s="575">
        <f>INPUT!F141</f>
        <v>0.2</v>
      </c>
      <c r="G72" s="515"/>
      <c r="H72" s="516"/>
      <c r="I72" s="512"/>
      <c r="J72" s="513"/>
      <c r="K72" s="138"/>
      <c r="L72" s="517"/>
      <c r="M72" s="513"/>
      <c r="N72" s="518"/>
      <c r="O72" s="519"/>
      <c r="Q72" s="513"/>
      <c r="R72" s="138"/>
      <c r="S72" s="517"/>
      <c r="T72" s="513"/>
      <c r="U72" s="517"/>
      <c r="V72" s="513"/>
      <c r="W72" s="512"/>
      <c r="X72" s="513"/>
      <c r="Y72" s="520"/>
      <c r="Z72" s="513"/>
      <c r="AA72" s="520"/>
      <c r="AB72" s="521"/>
      <c r="AC72" s="513"/>
      <c r="AF72" s="58"/>
      <c r="AG72" s="58"/>
      <c r="AH72" s="58"/>
      <c r="AI72" s="58"/>
      <c r="AJ72" s="58"/>
    </row>
    <row r="73" spans="1:36" ht="14.4" thickTop="1" thickBot="1">
      <c r="A73" s="527" t="s">
        <v>134</v>
      </c>
      <c r="B73" s="593">
        <f t="shared" si="1"/>
        <v>120000</v>
      </c>
      <c r="C73" s="593">
        <f t="shared" si="3"/>
        <v>96000</v>
      </c>
      <c r="D73" s="574">
        <f>INPUT!E142</f>
        <v>0.8</v>
      </c>
      <c r="E73" s="593">
        <f t="shared" si="2"/>
        <v>24000</v>
      </c>
      <c r="F73" s="575">
        <f>INPUT!F142</f>
        <v>0.2</v>
      </c>
      <c r="G73" s="515"/>
      <c r="H73" s="516"/>
      <c r="I73" s="512"/>
      <c r="J73" s="513"/>
      <c r="K73" s="138"/>
      <c r="L73" s="517"/>
      <c r="M73" s="513"/>
      <c r="N73" s="518"/>
      <c r="O73" s="519"/>
      <c r="Q73" s="513"/>
      <c r="R73" s="138"/>
      <c r="S73" s="517"/>
      <c r="T73" s="513"/>
      <c r="U73" s="517"/>
      <c r="V73" s="513"/>
      <c r="W73" s="512"/>
      <c r="X73" s="513"/>
      <c r="Y73" s="520"/>
      <c r="Z73" s="513"/>
      <c r="AA73" s="520"/>
      <c r="AB73" s="521"/>
      <c r="AC73" s="513"/>
      <c r="AF73" s="58"/>
      <c r="AG73" s="58"/>
      <c r="AH73" s="58"/>
      <c r="AI73" s="58"/>
      <c r="AJ73" s="58"/>
    </row>
    <row r="74" spans="1:36" ht="14.4" thickTop="1" thickBot="1">
      <c r="A74" s="527" t="s">
        <v>85</v>
      </c>
      <c r="B74" s="593">
        <f t="shared" si="1"/>
        <v>37500</v>
      </c>
      <c r="C74" s="593">
        <f t="shared" si="3"/>
        <v>30000</v>
      </c>
      <c r="D74" s="574">
        <f>INPUT!E143</f>
        <v>0.8</v>
      </c>
      <c r="E74" s="593">
        <f t="shared" si="2"/>
        <v>7500</v>
      </c>
      <c r="F74" s="575">
        <f>INPUT!F143</f>
        <v>0.2</v>
      </c>
      <c r="G74" s="515"/>
      <c r="H74" s="516"/>
      <c r="I74" s="512"/>
      <c r="J74" s="513"/>
      <c r="K74" s="138"/>
      <c r="L74" s="517"/>
      <c r="M74" s="513"/>
      <c r="N74" s="518"/>
      <c r="O74" s="519"/>
      <c r="Q74" s="513"/>
      <c r="R74" s="138"/>
      <c r="S74" s="517"/>
      <c r="T74" s="513"/>
      <c r="U74" s="517"/>
      <c r="V74" s="513"/>
      <c r="W74" s="512"/>
      <c r="X74" s="513"/>
      <c r="Y74" s="520"/>
      <c r="Z74" s="513"/>
      <c r="AA74" s="520"/>
      <c r="AB74" s="521"/>
      <c r="AC74" s="513"/>
      <c r="AF74" s="58"/>
      <c r="AG74" s="58"/>
      <c r="AH74" s="58"/>
      <c r="AI74" s="58"/>
      <c r="AJ74" s="58"/>
    </row>
    <row r="75" spans="1:36" ht="14.4" thickTop="1" thickBot="1">
      <c r="A75" s="527" t="s">
        <v>86</v>
      </c>
      <c r="B75" s="593">
        <f t="shared" si="1"/>
        <v>27488</v>
      </c>
      <c r="C75" s="593">
        <f t="shared" si="3"/>
        <v>21990.400000000001</v>
      </c>
      <c r="D75" s="574">
        <f>INPUT!E144</f>
        <v>0.8</v>
      </c>
      <c r="E75" s="593">
        <f t="shared" si="2"/>
        <v>5497.6</v>
      </c>
      <c r="F75" s="575">
        <f>INPUT!F144</f>
        <v>0.2</v>
      </c>
      <c r="G75" s="515"/>
      <c r="H75" s="516"/>
      <c r="I75" s="512"/>
      <c r="J75" s="513"/>
      <c r="K75" s="138"/>
      <c r="L75" s="517"/>
      <c r="M75" s="513"/>
      <c r="N75" s="518"/>
      <c r="O75" s="519"/>
      <c r="Q75" s="513"/>
      <c r="R75" s="138"/>
      <c r="S75" s="517"/>
      <c r="T75" s="513"/>
      <c r="U75" s="517"/>
      <c r="V75" s="513"/>
      <c r="W75" s="512"/>
      <c r="X75" s="513"/>
      <c r="Y75" s="520"/>
      <c r="Z75" s="513"/>
      <c r="AA75" s="520"/>
      <c r="AB75" s="521"/>
      <c r="AC75" s="513"/>
      <c r="AF75" s="58"/>
      <c r="AG75" s="58"/>
      <c r="AH75" s="58"/>
      <c r="AI75" s="58"/>
      <c r="AJ75" s="58"/>
    </row>
    <row r="76" spans="1:36" ht="14.4" thickTop="1" thickBot="1">
      <c r="A76" s="527" t="s">
        <v>87</v>
      </c>
      <c r="B76" s="593">
        <f t="shared" si="1"/>
        <v>35456</v>
      </c>
      <c r="C76" s="593">
        <f t="shared" si="3"/>
        <v>28364.800000000003</v>
      </c>
      <c r="D76" s="574">
        <f>INPUT!E145</f>
        <v>0.8</v>
      </c>
      <c r="E76" s="593">
        <f t="shared" si="2"/>
        <v>7091.2000000000007</v>
      </c>
      <c r="F76" s="575">
        <f>INPUT!F145</f>
        <v>0.2</v>
      </c>
      <c r="G76" s="515"/>
      <c r="H76" s="516"/>
      <c r="I76" s="512"/>
      <c r="J76" s="513"/>
      <c r="K76" s="138"/>
      <c r="L76" s="517"/>
      <c r="M76" s="513"/>
      <c r="N76" s="518"/>
      <c r="O76" s="519"/>
      <c r="Q76" s="513"/>
      <c r="R76" s="138"/>
      <c r="S76" s="517"/>
      <c r="T76" s="513"/>
      <c r="U76" s="517"/>
      <c r="V76" s="513"/>
      <c r="W76" s="512"/>
      <c r="X76" s="513"/>
      <c r="Y76" s="520"/>
      <c r="Z76" s="513"/>
      <c r="AA76" s="520"/>
      <c r="AB76" s="521"/>
      <c r="AC76" s="513"/>
      <c r="AF76" s="58"/>
      <c r="AG76" s="58"/>
      <c r="AH76" s="58"/>
      <c r="AI76" s="58"/>
      <c r="AJ76" s="58"/>
    </row>
    <row r="77" spans="1:36" ht="14.4" thickTop="1" thickBot="1">
      <c r="A77" s="527" t="s">
        <v>135</v>
      </c>
      <c r="B77" s="593">
        <f t="shared" si="1"/>
        <v>35500</v>
      </c>
      <c r="C77" s="593">
        <f t="shared" si="3"/>
        <v>28400</v>
      </c>
      <c r="D77" s="574">
        <f>INPUT!E146</f>
        <v>0.8</v>
      </c>
      <c r="E77" s="593">
        <f t="shared" si="2"/>
        <v>7100</v>
      </c>
      <c r="F77" s="575">
        <f>INPUT!F146</f>
        <v>0.2</v>
      </c>
      <c r="G77" s="515"/>
      <c r="H77" s="516"/>
      <c r="I77" s="512"/>
      <c r="J77" s="513"/>
      <c r="K77" s="138"/>
      <c r="L77" s="517"/>
      <c r="M77" s="513"/>
      <c r="N77" s="518"/>
      <c r="O77" s="519"/>
      <c r="Q77" s="513"/>
      <c r="R77" s="138"/>
      <c r="S77" s="517"/>
      <c r="T77" s="513"/>
      <c r="U77" s="517"/>
      <c r="V77" s="513"/>
      <c r="W77" s="512"/>
      <c r="X77" s="513"/>
      <c r="Y77" s="520"/>
      <c r="Z77" s="513"/>
      <c r="AA77" s="520"/>
      <c r="AB77" s="521"/>
      <c r="AC77" s="513"/>
      <c r="AF77" s="58"/>
      <c r="AG77" s="58"/>
      <c r="AH77" s="58"/>
      <c r="AI77" s="58"/>
      <c r="AJ77" s="58"/>
    </row>
    <row r="78" spans="1:36" ht="14.4" thickTop="1" thickBot="1">
      <c r="A78" s="527" t="s">
        <v>90</v>
      </c>
      <c r="B78" s="593">
        <f t="shared" si="1"/>
        <v>73500</v>
      </c>
      <c r="C78" s="593">
        <f t="shared" si="3"/>
        <v>58800</v>
      </c>
      <c r="D78" s="574">
        <f>INPUT!E147</f>
        <v>0.8</v>
      </c>
      <c r="E78" s="593">
        <f t="shared" si="2"/>
        <v>14700</v>
      </c>
      <c r="F78" s="575">
        <f>INPUT!F147</f>
        <v>0.2</v>
      </c>
      <c r="G78" s="515"/>
      <c r="H78" s="516"/>
      <c r="I78" s="512"/>
      <c r="J78" s="513"/>
      <c r="K78" s="138"/>
      <c r="L78" s="517"/>
      <c r="M78" s="513"/>
      <c r="N78" s="518"/>
      <c r="O78" s="519"/>
      <c r="Q78" s="513"/>
      <c r="R78" s="138"/>
      <c r="S78" s="517"/>
      <c r="T78" s="513"/>
      <c r="U78" s="517"/>
      <c r="V78" s="513"/>
      <c r="W78" s="512"/>
      <c r="X78" s="513"/>
      <c r="Y78" s="520"/>
      <c r="Z78" s="513"/>
      <c r="AA78" s="520"/>
      <c r="AB78" s="521"/>
      <c r="AC78" s="513"/>
      <c r="AF78" s="58"/>
      <c r="AG78" s="58"/>
      <c r="AH78" s="58"/>
      <c r="AI78" s="58"/>
      <c r="AJ78" s="58"/>
    </row>
    <row r="79" spans="1:36" ht="14.4" thickTop="1" thickBot="1">
      <c r="A79" s="527" t="s">
        <v>136</v>
      </c>
      <c r="B79" s="593">
        <f t="shared" si="1"/>
        <v>72100</v>
      </c>
      <c r="C79" s="593">
        <f t="shared" si="3"/>
        <v>57680</v>
      </c>
      <c r="D79" s="574">
        <f>INPUT!E148</f>
        <v>0.8</v>
      </c>
      <c r="E79" s="593">
        <f t="shared" si="2"/>
        <v>14420</v>
      </c>
      <c r="F79" s="575">
        <f>INPUT!F148</f>
        <v>0.2</v>
      </c>
      <c r="G79" s="515"/>
      <c r="H79" s="516"/>
      <c r="I79" s="512"/>
      <c r="J79" s="513"/>
      <c r="K79" s="138"/>
      <c r="L79" s="517"/>
      <c r="M79" s="513"/>
      <c r="N79" s="518"/>
      <c r="O79" s="519"/>
      <c r="Q79" s="513"/>
      <c r="R79" s="138"/>
      <c r="S79" s="517"/>
      <c r="T79" s="513"/>
      <c r="U79" s="517"/>
      <c r="V79" s="513"/>
      <c r="W79" s="512"/>
      <c r="X79" s="513"/>
      <c r="Y79" s="520"/>
      <c r="Z79" s="513"/>
      <c r="AA79" s="520"/>
      <c r="AB79" s="521"/>
      <c r="AC79" s="513"/>
      <c r="AF79" s="58"/>
      <c r="AG79" s="58"/>
      <c r="AH79" s="58"/>
      <c r="AI79" s="58"/>
      <c r="AJ79" s="58"/>
    </row>
    <row r="80" spans="1:36" ht="14.4" thickTop="1" thickBot="1">
      <c r="A80" s="527" t="s">
        <v>88</v>
      </c>
      <c r="B80" s="593">
        <f t="shared" si="1"/>
        <v>110000</v>
      </c>
      <c r="C80" s="593">
        <f t="shared" si="3"/>
        <v>88000</v>
      </c>
      <c r="D80" s="574">
        <f>INPUT!E149</f>
        <v>0.8</v>
      </c>
      <c r="E80" s="593">
        <f t="shared" si="2"/>
        <v>22000</v>
      </c>
      <c r="F80" s="575">
        <f>INPUT!F149</f>
        <v>0.2</v>
      </c>
      <c r="G80" s="515"/>
      <c r="H80" s="516"/>
      <c r="I80" s="512"/>
      <c r="J80" s="513"/>
      <c r="K80" s="138"/>
      <c r="L80" s="517"/>
      <c r="M80" s="513"/>
      <c r="N80" s="518"/>
      <c r="O80" s="519"/>
      <c r="Q80" s="513"/>
      <c r="R80" s="138"/>
      <c r="S80" s="517"/>
      <c r="T80" s="513"/>
      <c r="U80" s="517"/>
      <c r="V80" s="513"/>
      <c r="W80" s="512"/>
      <c r="X80" s="513"/>
      <c r="Y80" s="520"/>
      <c r="Z80" s="513"/>
      <c r="AA80" s="520"/>
      <c r="AB80" s="521"/>
      <c r="AC80" s="513"/>
      <c r="AF80" s="58"/>
      <c r="AG80" s="58"/>
      <c r="AH80" s="58"/>
      <c r="AI80" s="58"/>
      <c r="AJ80" s="58"/>
    </row>
    <row r="81" spans="1:36" ht="14.4" thickTop="1" thickBot="1">
      <c r="A81" s="527" t="s">
        <v>137</v>
      </c>
      <c r="B81" s="593">
        <f t="shared" si="1"/>
        <v>122300</v>
      </c>
      <c r="C81" s="593">
        <f t="shared" si="3"/>
        <v>97840</v>
      </c>
      <c r="D81" s="574">
        <f>INPUT!E150</f>
        <v>0.8</v>
      </c>
      <c r="E81" s="593">
        <f t="shared" si="2"/>
        <v>24460</v>
      </c>
      <c r="F81" s="575">
        <f>INPUT!F150</f>
        <v>0.2</v>
      </c>
      <c r="G81" s="515"/>
      <c r="H81" s="516"/>
      <c r="I81" s="512"/>
      <c r="J81" s="513"/>
      <c r="K81" s="138"/>
      <c r="L81" s="517"/>
      <c r="M81" s="513"/>
      <c r="N81" s="518"/>
      <c r="O81" s="519"/>
      <c r="Q81" s="513"/>
      <c r="R81" s="138"/>
      <c r="S81" s="517"/>
      <c r="T81" s="513"/>
      <c r="U81" s="517"/>
      <c r="V81" s="513"/>
      <c r="W81" s="512"/>
      <c r="X81" s="513"/>
      <c r="Y81" s="520"/>
      <c r="Z81" s="513"/>
      <c r="AA81" s="520"/>
      <c r="AB81" s="521"/>
      <c r="AC81" s="513"/>
      <c r="AF81" s="58"/>
      <c r="AG81" s="58"/>
      <c r="AH81" s="58"/>
      <c r="AI81" s="58"/>
      <c r="AJ81" s="58"/>
    </row>
    <row r="82" spans="1:36" ht="14.4" thickTop="1" thickBot="1">
      <c r="A82" s="527" t="s">
        <v>89</v>
      </c>
      <c r="B82" s="593">
        <f t="shared" si="1"/>
        <v>556759.02</v>
      </c>
      <c r="C82" s="593">
        <f t="shared" si="3"/>
        <v>445407.21600000001</v>
      </c>
      <c r="D82" s="574">
        <f>INPUT!E151</f>
        <v>0.8</v>
      </c>
      <c r="E82" s="593">
        <f t="shared" si="2"/>
        <v>111351.804</v>
      </c>
      <c r="F82" s="575">
        <f>INPUT!F151</f>
        <v>0.2</v>
      </c>
      <c r="G82" s="515"/>
      <c r="H82" s="516"/>
      <c r="I82" s="512"/>
      <c r="J82" s="513"/>
      <c r="K82" s="138"/>
      <c r="L82" s="517"/>
      <c r="M82" s="513"/>
      <c r="N82" s="518"/>
      <c r="O82" s="519"/>
      <c r="Q82" s="513"/>
      <c r="R82" s="138"/>
      <c r="S82" s="517"/>
      <c r="T82" s="513"/>
      <c r="U82" s="517"/>
      <c r="V82" s="513"/>
      <c r="W82" s="512"/>
      <c r="X82" s="513"/>
      <c r="Y82" s="520"/>
      <c r="Z82" s="513"/>
      <c r="AA82" s="520"/>
      <c r="AB82" s="521"/>
      <c r="AC82" s="513"/>
      <c r="AF82" s="58"/>
      <c r="AG82" s="58"/>
      <c r="AH82" s="58"/>
      <c r="AI82" s="58"/>
      <c r="AJ82" s="58"/>
    </row>
    <row r="83" spans="1:36" ht="14.4" thickTop="1" thickBot="1">
      <c r="A83" s="527" t="s">
        <v>91</v>
      </c>
      <c r="B83" s="593">
        <f t="shared" si="1"/>
        <v>123976.02</v>
      </c>
      <c r="C83" s="593">
        <f t="shared" si="3"/>
        <v>99180.816000000006</v>
      </c>
      <c r="D83" s="574">
        <f>INPUT!E152</f>
        <v>0.8</v>
      </c>
      <c r="E83" s="593">
        <f t="shared" si="2"/>
        <v>24795.204000000002</v>
      </c>
      <c r="F83" s="575">
        <f>INPUT!F152</f>
        <v>0.2</v>
      </c>
      <c r="G83" s="515"/>
      <c r="H83" s="516"/>
      <c r="I83" s="512"/>
      <c r="J83" s="513"/>
      <c r="K83" s="138"/>
      <c r="L83" s="517"/>
      <c r="M83" s="513"/>
      <c r="N83" s="518"/>
      <c r="O83" s="519"/>
      <c r="Q83" s="513"/>
      <c r="R83" s="138"/>
      <c r="S83" s="517"/>
      <c r="T83" s="513"/>
      <c r="U83" s="517"/>
      <c r="V83" s="513"/>
      <c r="W83" s="512"/>
      <c r="X83" s="513"/>
      <c r="Y83" s="520"/>
      <c r="Z83" s="513"/>
      <c r="AA83" s="520"/>
      <c r="AB83" s="521"/>
      <c r="AC83" s="513"/>
      <c r="AF83" s="58"/>
      <c r="AG83" s="58"/>
      <c r="AH83" s="58"/>
      <c r="AI83" s="58"/>
      <c r="AJ83" s="58"/>
    </row>
    <row r="84" spans="1:36" ht="14.4" thickTop="1" thickBot="1">
      <c r="A84" s="527" t="s">
        <v>92</v>
      </c>
      <c r="B84" s="593">
        <f t="shared" si="1"/>
        <v>17953</v>
      </c>
      <c r="C84" s="593">
        <f t="shared" si="3"/>
        <v>14362.400000000001</v>
      </c>
      <c r="D84" s="574">
        <f>INPUT!E153</f>
        <v>0.8</v>
      </c>
      <c r="E84" s="593">
        <f t="shared" si="2"/>
        <v>3590.6000000000004</v>
      </c>
      <c r="F84" s="575">
        <f>INPUT!F153</f>
        <v>0.2</v>
      </c>
      <c r="G84" s="515"/>
      <c r="H84" s="516"/>
      <c r="I84" s="512"/>
      <c r="J84" s="513"/>
      <c r="K84" s="138"/>
      <c r="L84" s="517"/>
      <c r="M84" s="513"/>
      <c r="N84" s="518"/>
      <c r="O84" s="519"/>
      <c r="Q84" s="513"/>
      <c r="R84" s="138"/>
      <c r="S84" s="517"/>
      <c r="T84" s="513"/>
      <c r="U84" s="517"/>
      <c r="V84" s="513"/>
      <c r="W84" s="512"/>
      <c r="X84" s="513"/>
      <c r="Y84" s="520"/>
      <c r="Z84" s="513"/>
      <c r="AA84" s="520"/>
      <c r="AB84" s="521"/>
      <c r="AC84" s="513"/>
      <c r="AF84" s="58"/>
      <c r="AG84" s="58"/>
      <c r="AH84" s="58"/>
      <c r="AI84" s="58"/>
      <c r="AJ84" s="58"/>
    </row>
    <row r="85" spans="1:36" ht="14.4" thickTop="1" thickBot="1">
      <c r="A85" s="394" t="s">
        <v>2</v>
      </c>
      <c r="B85" s="594">
        <f>SUM(B65:B84)</f>
        <v>2263243.04</v>
      </c>
      <c r="C85" s="594">
        <f>SUM(C65:C84)</f>
        <v>1810594.432</v>
      </c>
      <c r="D85" s="563"/>
      <c r="E85" s="594">
        <f>SUM(E65:E84)</f>
        <v>452648.60800000001</v>
      </c>
      <c r="F85" s="564"/>
      <c r="G85" s="515"/>
      <c r="H85" s="516"/>
      <c r="I85" s="512"/>
      <c r="J85" s="513"/>
      <c r="K85" s="138"/>
      <c r="L85" s="517"/>
      <c r="M85" s="513"/>
      <c r="N85" s="518"/>
      <c r="O85" s="519"/>
      <c r="Q85" s="513"/>
      <c r="R85" s="138"/>
      <c r="S85" s="517"/>
      <c r="T85" s="513"/>
      <c r="U85" s="517"/>
      <c r="V85" s="513"/>
      <c r="W85" s="512"/>
      <c r="X85" s="513"/>
      <c r="Y85" s="520"/>
      <c r="Z85" s="513"/>
      <c r="AA85" s="520"/>
      <c r="AB85" s="521"/>
      <c r="AC85" s="513"/>
      <c r="AF85" s="58"/>
      <c r="AG85" s="58"/>
      <c r="AH85" s="58"/>
      <c r="AI85" s="58"/>
      <c r="AJ85" s="58"/>
    </row>
    <row r="86" spans="1:36" ht="13.8" thickTop="1">
      <c r="B86" s="565"/>
      <c r="AF86" s="58"/>
      <c r="AG86" s="58"/>
      <c r="AH86" s="58"/>
      <c r="AI86" s="58"/>
      <c r="AJ86" s="58"/>
    </row>
    <row r="89" spans="1:36">
      <c r="C89" s="103"/>
      <c r="AF89" s="58"/>
      <c r="AG89" s="58"/>
      <c r="AH89" s="58"/>
      <c r="AI89" s="58"/>
      <c r="AJ89" s="58"/>
    </row>
  </sheetData>
  <mergeCells count="1">
    <mergeCell ref="A33:C33"/>
  </mergeCells>
  <phoneticPr fontId="0" type="noConversion"/>
  <printOptions horizontalCentered="1" verticalCentered="1"/>
  <pageMargins left="0.19685039370078741" right="0.19685039370078741" top="0.19685039370078741" bottom="0.19685039370078741" header="0.19685039370078741" footer="0.19685039370078741"/>
  <pageSetup paperSize="9" scale="75" orientation="landscape" verticalDpi="36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7"/>
  <dimension ref="A1:AN51"/>
  <sheetViews>
    <sheetView zoomScaleNormal="100" zoomScaleSheetLayoutView="75" workbookViewId="0">
      <selection sqref="A1:G1"/>
    </sheetView>
  </sheetViews>
  <sheetFormatPr defaultColWidth="9.109375" defaultRowHeight="12.55"/>
  <cols>
    <col min="1" max="1" width="40" style="58" customWidth="1"/>
    <col min="2" max="2" width="3.44140625" style="58" customWidth="1"/>
    <col min="3" max="3" width="19.109375" style="58" customWidth="1"/>
    <col min="4" max="4" width="10.6640625" style="371" customWidth="1"/>
    <col min="5" max="5" width="19.109375" style="58" customWidth="1"/>
    <col min="6" max="6" width="10.5546875" style="371" customWidth="1"/>
    <col min="7" max="7" width="21.109375" style="58" customWidth="1"/>
    <col min="8" max="8" width="5.5546875" style="58" customWidth="1"/>
    <col min="9" max="9" width="7.109375" style="58" bestFit="1" customWidth="1"/>
    <col min="10" max="10" width="10" style="58" customWidth="1"/>
    <col min="11" max="11" width="14.33203125" style="58" bestFit="1" customWidth="1"/>
    <col min="12" max="12" width="11.6640625" style="58" bestFit="1" customWidth="1"/>
    <col min="13" max="19" width="12.5546875" style="58" bestFit="1" customWidth="1"/>
    <col min="20" max="20" width="10.5546875" style="58" customWidth="1"/>
    <col min="21" max="21" width="10.109375" style="58" customWidth="1"/>
    <col min="22" max="22" width="7.88671875" style="58" customWidth="1"/>
    <col min="23" max="23" width="10.88671875" style="58" customWidth="1"/>
    <col min="24" max="24" width="6.44140625" style="58" customWidth="1"/>
    <col min="25" max="25" width="34.33203125" style="58" bestFit="1" customWidth="1"/>
    <col min="26" max="26" width="6.6640625" style="58" customWidth="1"/>
    <col min="27" max="27" width="10.44140625" style="58" customWidth="1"/>
    <col min="28" max="28" width="10.109375" style="58" customWidth="1"/>
    <col min="29" max="29" width="11.109375" style="58" customWidth="1"/>
    <col min="30" max="30" width="8" style="58" customWidth="1"/>
    <col min="31" max="31" width="10.33203125" style="58" customWidth="1"/>
    <col min="32" max="32" width="5.33203125" style="58" customWidth="1"/>
    <col min="33" max="33" width="34.33203125" style="58" bestFit="1" customWidth="1"/>
    <col min="34" max="34" width="6.44140625" style="58" customWidth="1"/>
    <col min="35" max="35" width="11.6640625" style="58" customWidth="1"/>
    <col min="36" max="36" width="11" style="58" customWidth="1"/>
    <col min="37" max="37" width="11.5546875" style="58" customWidth="1"/>
    <col min="38" max="38" width="8.5546875" style="58" customWidth="1"/>
    <col min="39" max="39" width="12.44140625" style="58" customWidth="1"/>
    <col min="40" max="40" width="6.33203125" style="58" customWidth="1"/>
    <col min="41" max="41" width="34.33203125" style="58" bestFit="1" customWidth="1"/>
    <col min="42" max="42" width="5" style="58" customWidth="1"/>
    <col min="43" max="43" width="12.33203125" style="58" customWidth="1"/>
    <col min="44" max="44" width="7.44140625" style="58" customWidth="1"/>
    <col min="45" max="45" width="10.5546875" style="58" customWidth="1"/>
    <col min="46" max="46" width="8.5546875" style="58" customWidth="1"/>
    <col min="47" max="47" width="11.109375" style="58" customWidth="1"/>
    <col min="48" max="16384" width="9.109375" style="58"/>
  </cols>
  <sheetData>
    <row r="1" spans="1:40" ht="13.8" thickBot="1">
      <c r="A1" s="774" t="s">
        <v>204</v>
      </c>
      <c r="B1" s="775"/>
      <c r="C1" s="775"/>
      <c r="D1" s="775"/>
      <c r="E1" s="775"/>
      <c r="F1" s="775"/>
      <c r="G1" s="775"/>
      <c r="H1" s="181"/>
      <c r="P1" s="181"/>
      <c r="X1" s="181"/>
      <c r="AF1" s="181"/>
      <c r="AN1" s="181"/>
    </row>
    <row r="2" spans="1:40" ht="13.15">
      <c r="A2" s="153" t="s">
        <v>1</v>
      </c>
      <c r="B2" s="612"/>
      <c r="C2" s="613">
        <v>44926</v>
      </c>
      <c r="D2" s="184" t="s">
        <v>3</v>
      </c>
      <c r="E2" s="184" t="s">
        <v>27</v>
      </c>
      <c r="F2" s="184" t="s">
        <v>3</v>
      </c>
      <c r="G2" s="184" t="s">
        <v>28</v>
      </c>
      <c r="I2" s="778">
        <f>C2</f>
        <v>44926</v>
      </c>
      <c r="J2" s="779"/>
      <c r="K2" s="614" t="s">
        <v>55</v>
      </c>
      <c r="L2" s="615">
        <v>0</v>
      </c>
      <c r="M2" s="615">
        <v>20000000</v>
      </c>
      <c r="N2" s="616">
        <v>30000000</v>
      </c>
      <c r="O2" s="616">
        <v>40000000</v>
      </c>
      <c r="P2" s="615">
        <v>50000000</v>
      </c>
      <c r="Q2" s="616">
        <v>60000000</v>
      </c>
      <c r="R2" s="615">
        <v>70000000</v>
      </c>
      <c r="S2" s="616">
        <v>80000000</v>
      </c>
    </row>
    <row r="3" spans="1:40" ht="15.05">
      <c r="A3" s="617" t="s">
        <v>29</v>
      </c>
      <c r="B3" s="156"/>
      <c r="C3" s="156"/>
      <c r="D3" s="618"/>
      <c r="E3" s="619"/>
      <c r="F3" s="620"/>
      <c r="G3" s="619"/>
      <c r="I3" s="621"/>
      <c r="J3" s="622"/>
      <c r="K3" s="623" t="s">
        <v>27</v>
      </c>
      <c r="L3" s="664">
        <f>M3</f>
        <v>6510555.5337092001</v>
      </c>
      <c r="M3" s="664">
        <f>E33</f>
        <v>6510555.5337092001</v>
      </c>
      <c r="N3" s="664">
        <f t="shared" ref="N3:S3" si="0">M3</f>
        <v>6510555.5337092001</v>
      </c>
      <c r="O3" s="664">
        <f t="shared" si="0"/>
        <v>6510555.5337092001</v>
      </c>
      <c r="P3" s="664">
        <f t="shared" si="0"/>
        <v>6510555.5337092001</v>
      </c>
      <c r="Q3" s="664">
        <f t="shared" si="0"/>
        <v>6510555.5337092001</v>
      </c>
      <c r="R3" s="664">
        <f t="shared" si="0"/>
        <v>6510555.5337092001</v>
      </c>
      <c r="S3" s="665">
        <f t="shared" si="0"/>
        <v>6510555.5337092001</v>
      </c>
    </row>
    <row r="4" spans="1:40" ht="16.3">
      <c r="A4" s="624"/>
      <c r="B4" s="625"/>
      <c r="C4" s="187"/>
      <c r="D4" s="188"/>
      <c r="E4" s="626"/>
      <c r="F4" s="627"/>
      <c r="G4" s="628"/>
      <c r="I4" s="629" t="s">
        <v>52</v>
      </c>
      <c r="J4" s="663">
        <f>C38</f>
        <v>0.54176053616501985</v>
      </c>
      <c r="K4" s="630" t="s">
        <v>28</v>
      </c>
      <c r="L4" s="666">
        <v>0</v>
      </c>
      <c r="M4" s="666">
        <f>M2*J4</f>
        <v>10835210.723300397</v>
      </c>
      <c r="N4" s="666">
        <f>N2*J4</f>
        <v>16252816.084950596</v>
      </c>
      <c r="O4" s="666">
        <f>O2*J4</f>
        <v>21670421.446600795</v>
      </c>
      <c r="P4" s="666">
        <f>P2*J4</f>
        <v>27088026.808250993</v>
      </c>
      <c r="Q4" s="666">
        <f>Q2*J4</f>
        <v>32505632.169901192</v>
      </c>
      <c r="R4" s="666">
        <f>R2*J4</f>
        <v>37923237.531551391</v>
      </c>
      <c r="S4" s="667">
        <f>S2*J4</f>
        <v>43340842.89320159</v>
      </c>
    </row>
    <row r="5" spans="1:40" ht="16.3">
      <c r="A5" s="631" t="s">
        <v>73</v>
      </c>
      <c r="B5" s="625"/>
      <c r="C5" s="653">
        <f>'Struttura Costi AZ. A'!B62</f>
        <v>7203446.0811219998</v>
      </c>
      <c r="D5" s="188">
        <f>'Struttura Costi AZ. A'!D62</f>
        <v>0.2</v>
      </c>
      <c r="E5" s="655">
        <f>D5*C5</f>
        <v>1440689.2162244001</v>
      </c>
      <c r="F5" s="627">
        <f>'Struttura Costi AZ. A'!F62</f>
        <v>0.8</v>
      </c>
      <c r="G5" s="656">
        <f>F5*C5</f>
        <v>5762756.8648976004</v>
      </c>
      <c r="I5" s="629" t="s">
        <v>53</v>
      </c>
      <c r="J5" s="632">
        <f>C40</f>
        <v>22978815</v>
      </c>
      <c r="K5" s="633" t="s">
        <v>56</v>
      </c>
      <c r="L5" s="668">
        <f t="shared" ref="L5:S5" si="1">L3+L4</f>
        <v>6510555.5337092001</v>
      </c>
      <c r="M5" s="668">
        <f t="shared" si="1"/>
        <v>17345766.257009596</v>
      </c>
      <c r="N5" s="668">
        <f t="shared" si="1"/>
        <v>22763371.618659794</v>
      </c>
      <c r="O5" s="668">
        <f t="shared" si="1"/>
        <v>28180976.980309993</v>
      </c>
      <c r="P5" s="668">
        <f t="shared" si="1"/>
        <v>33598582.341960192</v>
      </c>
      <c r="Q5" s="668">
        <f t="shared" si="1"/>
        <v>39016187.70361039</v>
      </c>
      <c r="R5" s="668">
        <f t="shared" si="1"/>
        <v>44433793.065260589</v>
      </c>
      <c r="S5" s="669">
        <f t="shared" si="1"/>
        <v>49851398.426910788</v>
      </c>
    </row>
    <row r="6" spans="1:40" ht="16.3">
      <c r="A6" s="634" t="s">
        <v>69</v>
      </c>
      <c r="B6" s="625"/>
      <c r="C6" s="653">
        <f>'Struttura Costi AZ. A'!B63</f>
        <v>7225055.5874239998</v>
      </c>
      <c r="D6" s="188">
        <f>'Struttura Costi AZ. A'!D63</f>
        <v>0.2</v>
      </c>
      <c r="E6" s="655">
        <f>D6*C6</f>
        <v>1445011.1174848001</v>
      </c>
      <c r="F6" s="627">
        <f>'Struttura Costi AZ. A'!F63</f>
        <v>0.8</v>
      </c>
      <c r="G6" s="656">
        <f>F6*C6</f>
        <v>5780044.4699392002</v>
      </c>
      <c r="I6" s="635" t="s">
        <v>54</v>
      </c>
      <c r="J6" s="663">
        <f>C39/C40</f>
        <v>0.68973541063801591</v>
      </c>
      <c r="K6" s="636" t="s">
        <v>57</v>
      </c>
      <c r="L6" s="670">
        <v>0</v>
      </c>
      <c r="M6" s="670">
        <f>J6*M2</f>
        <v>13794708.212760318</v>
      </c>
      <c r="N6" s="670">
        <f>J6*N2</f>
        <v>20692062.319140479</v>
      </c>
      <c r="O6" s="670">
        <f>J6*O2</f>
        <v>27589416.425520636</v>
      </c>
      <c r="P6" s="670">
        <f>J6*P2</f>
        <v>34486770.531900793</v>
      </c>
      <c r="Q6" s="670">
        <f>J6*Q2</f>
        <v>41384124.638280958</v>
      </c>
      <c r="R6" s="670">
        <f>J6*R2</f>
        <v>48281478.744661115</v>
      </c>
      <c r="S6" s="671">
        <f>J6*S2</f>
        <v>55178832.851041272</v>
      </c>
    </row>
    <row r="7" spans="1:40" ht="16.899999999999999" thickBot="1">
      <c r="A7" s="637"/>
      <c r="B7" s="625"/>
      <c r="C7" s="653"/>
      <c r="D7" s="188"/>
      <c r="E7" s="655"/>
      <c r="F7" s="627"/>
      <c r="G7" s="656"/>
      <c r="I7" s="638"/>
      <c r="J7" s="639"/>
      <c r="K7" s="639"/>
      <c r="L7" s="639"/>
      <c r="M7" s="639"/>
      <c r="N7" s="639"/>
      <c r="O7" s="639"/>
      <c r="P7" s="639"/>
      <c r="Q7" s="639"/>
      <c r="R7" s="639"/>
      <c r="S7" s="640"/>
    </row>
    <row r="8" spans="1:40" ht="16.3">
      <c r="A8" s="641" t="s">
        <v>49</v>
      </c>
      <c r="B8" s="192"/>
      <c r="C8" s="654">
        <f>SUM(C4:C7)</f>
        <v>14428501.668545999</v>
      </c>
      <c r="D8" s="193">
        <f>E8/C8</f>
        <v>0.2</v>
      </c>
      <c r="E8" s="654">
        <f>SUM(E4:E7)</f>
        <v>2885700.3337091999</v>
      </c>
      <c r="F8" s="194">
        <f>G8/C8</f>
        <v>0.8</v>
      </c>
      <c r="G8" s="657">
        <f>SUM(G4:G7)</f>
        <v>11542801.3348368</v>
      </c>
    </row>
    <row r="9" spans="1:40" ht="16.3">
      <c r="B9" s="565"/>
      <c r="C9" s="196"/>
      <c r="D9" s="197"/>
      <c r="E9" s="103"/>
      <c r="F9" s="642"/>
      <c r="G9" s="565"/>
    </row>
    <row r="10" spans="1:40" ht="16.3">
      <c r="A10" s="643" t="s">
        <v>9</v>
      </c>
      <c r="B10" s="156"/>
      <c r="C10" s="198"/>
      <c r="D10" s="199"/>
      <c r="E10" s="180"/>
      <c r="F10" s="644"/>
      <c r="G10" s="645"/>
    </row>
    <row r="11" spans="1:40" ht="16.3">
      <c r="A11" s="646" t="str">
        <f>'Struttura Costi AZ. A'!A9</f>
        <v>PERSONALE</v>
      </c>
      <c r="B11" s="645"/>
      <c r="C11" s="653">
        <f>'Struttura Costi AZ. A'!B9</f>
        <v>1572337</v>
      </c>
      <c r="D11" s="188">
        <f>'Struttura Costi AZ. A'!D67</f>
        <v>0.8</v>
      </c>
      <c r="E11" s="655">
        <f>D11*C11</f>
        <v>1257869.6000000001</v>
      </c>
      <c r="F11" s="627">
        <f>'Struttura Costi AZ. A'!F67</f>
        <v>0.2</v>
      </c>
      <c r="G11" s="656">
        <f t="shared" ref="G11:G30" si="2">F11*C11</f>
        <v>314467.40000000002</v>
      </c>
    </row>
    <row r="12" spans="1:40" ht="16.3">
      <c r="A12" s="646" t="str">
        <f>'Struttura Costi AZ. A'!A10</f>
        <v>TELEFONO</v>
      </c>
      <c r="B12" s="645"/>
      <c r="C12" s="653">
        <f>'Struttura Costi AZ. A'!B10</f>
        <v>57510</v>
      </c>
      <c r="D12" s="188">
        <f>'Struttura Costi AZ. A'!D68</f>
        <v>0.8</v>
      </c>
      <c r="E12" s="655">
        <f t="shared" ref="E12:E29" si="3">D12*C12</f>
        <v>46008</v>
      </c>
      <c r="F12" s="627">
        <f>'Struttura Costi AZ. A'!F68</f>
        <v>0.2</v>
      </c>
      <c r="G12" s="656">
        <f t="shared" ref="G12:G17" si="4">F12*C12</f>
        <v>11502</v>
      </c>
    </row>
    <row r="13" spans="1:40" ht="16.3">
      <c r="A13" s="646" t="str">
        <f>'Struttura Costi AZ. A'!A11</f>
        <v>ACQUA</v>
      </c>
      <c r="B13" s="645"/>
      <c r="C13" s="653">
        <f>'Struttura Costi AZ. A'!B11</f>
        <v>110100</v>
      </c>
      <c r="D13" s="188">
        <f>'Struttura Costi AZ. A'!D69</f>
        <v>0.8</v>
      </c>
      <c r="E13" s="655">
        <f t="shared" si="3"/>
        <v>88080</v>
      </c>
      <c r="F13" s="627">
        <f>'Struttura Costi AZ. A'!F69</f>
        <v>0.2</v>
      </c>
      <c r="G13" s="656">
        <f t="shared" si="4"/>
        <v>22020</v>
      </c>
    </row>
    <row r="14" spans="1:40" ht="16.3">
      <c r="A14" s="646" t="str">
        <f>'Struttura Costi AZ. A'!A12</f>
        <v>GAS</v>
      </c>
      <c r="B14" s="645"/>
      <c r="C14" s="653">
        <f>'Struttura Costi AZ. A'!B12</f>
        <v>115978</v>
      </c>
      <c r="D14" s="188">
        <f>'Struttura Costi AZ. A'!D70</f>
        <v>0.8</v>
      </c>
      <c r="E14" s="655">
        <f t="shared" si="3"/>
        <v>92782.400000000009</v>
      </c>
      <c r="F14" s="627">
        <f>'Struttura Costi AZ. A'!F70</f>
        <v>0.2</v>
      </c>
      <c r="G14" s="656">
        <f t="shared" si="4"/>
        <v>23195.600000000002</v>
      </c>
    </row>
    <row r="15" spans="1:40" ht="16.3">
      <c r="A15" s="646" t="str">
        <f>'Struttura Costi AZ. A'!A13</f>
        <v>ENERGIA</v>
      </c>
      <c r="B15" s="645"/>
      <c r="C15" s="653">
        <f>'Struttura Costi AZ. A'!B13</f>
        <v>65300</v>
      </c>
      <c r="D15" s="188">
        <f>'Struttura Costi AZ. A'!D71</f>
        <v>0.8</v>
      </c>
      <c r="E15" s="655">
        <f t="shared" si="3"/>
        <v>52240</v>
      </c>
      <c r="F15" s="627">
        <f>'Struttura Costi AZ. A'!F71</f>
        <v>0.2</v>
      </c>
      <c r="G15" s="656">
        <f t="shared" si="4"/>
        <v>13060</v>
      </c>
    </row>
    <row r="16" spans="1:40" ht="16.3">
      <c r="A16" s="646" t="str">
        <f>'Struttura Costi AZ. A'!A14</f>
        <v>ALTRE UTENZE</v>
      </c>
      <c r="B16" s="645"/>
      <c r="C16" s="653">
        <f>'Struttura Costi AZ. A'!B14</f>
        <v>65300</v>
      </c>
      <c r="D16" s="188">
        <f>'Struttura Costi AZ. A'!D72</f>
        <v>0.8</v>
      </c>
      <c r="E16" s="655">
        <f>D16*C16</f>
        <v>52240</v>
      </c>
      <c r="F16" s="627">
        <f>'Struttura Costi AZ. A'!F72</f>
        <v>0.2</v>
      </c>
      <c r="G16" s="656">
        <f t="shared" si="4"/>
        <v>13060</v>
      </c>
    </row>
    <row r="17" spans="1:7" ht="16.3">
      <c r="A17" s="646" t="str">
        <f>'Struttura Costi AZ. A'!A15</f>
        <v>CONSULENZE FISCALI E LEGALI</v>
      </c>
      <c r="B17" s="645"/>
      <c r="C17" s="653">
        <f>'Struttura Costi AZ. A'!B15</f>
        <v>75500</v>
      </c>
      <c r="D17" s="188">
        <f>'Struttura Costi AZ. A'!D73</f>
        <v>0.8</v>
      </c>
      <c r="E17" s="655">
        <f t="shared" si="3"/>
        <v>60400</v>
      </c>
      <c r="F17" s="627">
        <f>'Struttura Costi AZ. A'!F73</f>
        <v>0.2</v>
      </c>
      <c r="G17" s="656">
        <f t="shared" si="4"/>
        <v>15100</v>
      </c>
    </row>
    <row r="18" spans="1:7" ht="16.3">
      <c r="A18" s="646" t="str">
        <f>'Struttura Costi AZ. A'!A16</f>
        <v>CONSULENZE TECNICHE</v>
      </c>
      <c r="B18" s="645"/>
      <c r="C18" s="653">
        <f>'Struttura Costi AZ. A'!B16</f>
        <v>132900</v>
      </c>
      <c r="D18" s="188">
        <f>'Struttura Costi AZ. A'!D74</f>
        <v>0.8</v>
      </c>
      <c r="E18" s="655">
        <f t="shared" si="3"/>
        <v>106320</v>
      </c>
      <c r="F18" s="627">
        <f>'Struttura Costi AZ. A'!F74</f>
        <v>0.2</v>
      </c>
      <c r="G18" s="656">
        <f t="shared" si="2"/>
        <v>26580</v>
      </c>
    </row>
    <row r="19" spans="1:7" ht="16.3">
      <c r="A19" s="646" t="str">
        <f>'Struttura Costi AZ. A'!A17</f>
        <v>COMPENSI AMMINISTRATORI</v>
      </c>
      <c r="B19" s="645"/>
      <c r="C19" s="653">
        <f>'Struttura Costi AZ. A'!B17</f>
        <v>342000</v>
      </c>
      <c r="D19" s="188">
        <f>'Struttura Costi AZ. A'!D75</f>
        <v>0.8</v>
      </c>
      <c r="E19" s="655">
        <f t="shared" si="3"/>
        <v>273600</v>
      </c>
      <c r="F19" s="627">
        <f>'Struttura Costi AZ. A'!F75</f>
        <v>0.2</v>
      </c>
      <c r="G19" s="656">
        <f t="shared" si="2"/>
        <v>68400</v>
      </c>
    </row>
    <row r="20" spans="1:7" ht="16.3">
      <c r="A20" s="646" t="str">
        <f>'Struttura Costi AZ. A'!A18</f>
        <v>PROMOZIONE/PUBBL.</v>
      </c>
      <c r="B20" s="645"/>
      <c r="C20" s="653">
        <f>'Struttura Costi AZ. A'!B18</f>
        <v>170000</v>
      </c>
      <c r="D20" s="188">
        <f>'Struttura Costi AZ. A'!D76</f>
        <v>0.8</v>
      </c>
      <c r="E20" s="655">
        <f t="shared" si="3"/>
        <v>136000</v>
      </c>
      <c r="F20" s="627">
        <f>'Struttura Costi AZ. A'!F76</f>
        <v>0.2</v>
      </c>
      <c r="G20" s="656">
        <f t="shared" si="2"/>
        <v>34000</v>
      </c>
    </row>
    <row r="21" spans="1:7" ht="16.3">
      <c r="A21" s="646" t="str">
        <f>'Struttura Costi AZ. A'!A19</f>
        <v>VIAGGI</v>
      </c>
      <c r="B21" s="645"/>
      <c r="C21" s="653">
        <f>'Struttura Costi AZ. A'!B19</f>
        <v>73450</v>
      </c>
      <c r="D21" s="188">
        <f>'Struttura Costi AZ. A'!D77</f>
        <v>0.8</v>
      </c>
      <c r="E21" s="655">
        <f t="shared" si="3"/>
        <v>58760</v>
      </c>
      <c r="F21" s="627">
        <f>'Struttura Costi AZ. A'!F77</f>
        <v>0.2</v>
      </c>
      <c r="G21" s="656">
        <f t="shared" si="2"/>
        <v>14690</v>
      </c>
    </row>
    <row r="22" spans="1:7" ht="16.3">
      <c r="A22" s="646" t="str">
        <f>'Struttura Costi AZ. A'!A20</f>
        <v>FIERE</v>
      </c>
      <c r="B22" s="645"/>
      <c r="C22" s="653">
        <f>'Struttura Costi AZ. A'!B20</f>
        <v>131180</v>
      </c>
      <c r="D22" s="188">
        <f>'Struttura Costi AZ. A'!D78</f>
        <v>0.8</v>
      </c>
      <c r="E22" s="655">
        <f t="shared" si="3"/>
        <v>104944</v>
      </c>
      <c r="F22" s="627">
        <f>'Struttura Costi AZ. A'!F78</f>
        <v>0.2</v>
      </c>
      <c r="G22" s="656">
        <f t="shared" si="2"/>
        <v>26236</v>
      </c>
    </row>
    <row r="23" spans="1:7" ht="16.3">
      <c r="A23" s="646" t="str">
        <f>'Struttura Costi AZ. A'!A21</f>
        <v>PROVVIGIONI E RIMBORSO SPESE</v>
      </c>
      <c r="B23" s="645"/>
      <c r="C23" s="653">
        <f>'Struttura Costi AZ. A'!B21</f>
        <v>107340</v>
      </c>
      <c r="D23" s="188">
        <f>'Struttura Costi AZ. A'!D79</f>
        <v>0.8</v>
      </c>
      <c r="E23" s="655">
        <f t="shared" si="3"/>
        <v>85872</v>
      </c>
      <c r="F23" s="627">
        <f>'Struttura Costi AZ. A'!F79</f>
        <v>0.2</v>
      </c>
      <c r="G23" s="656">
        <f t="shared" si="2"/>
        <v>21468</v>
      </c>
    </row>
    <row r="24" spans="1:7" ht="16.3">
      <c r="A24" s="646" t="str">
        <f>'Struttura Costi AZ. A'!A22</f>
        <v>MANUTENZIONE</v>
      </c>
      <c r="B24" s="645"/>
      <c r="C24" s="653">
        <f>'Struttura Costi AZ. A'!B22</f>
        <v>133000</v>
      </c>
      <c r="D24" s="188">
        <f>'Struttura Costi AZ. A'!D80</f>
        <v>0.8</v>
      </c>
      <c r="E24" s="655">
        <f t="shared" si="3"/>
        <v>106400</v>
      </c>
      <c r="F24" s="627">
        <f>'Struttura Costi AZ. A'!F80</f>
        <v>0.2</v>
      </c>
      <c r="G24" s="656">
        <f t="shared" si="2"/>
        <v>26600</v>
      </c>
    </row>
    <row r="25" spans="1:7" ht="16.3">
      <c r="A25" s="646" t="str">
        <f>'Struttura Costi AZ. A'!A23</f>
        <v>TRASPORTO</v>
      </c>
      <c r="B25" s="645"/>
      <c r="C25" s="653">
        <f>'Struttura Costi AZ. A'!B23</f>
        <v>145000</v>
      </c>
      <c r="D25" s="188">
        <f>'Struttura Costi AZ. A'!D81</f>
        <v>0.8</v>
      </c>
      <c r="E25" s="655">
        <f t="shared" si="3"/>
        <v>116000</v>
      </c>
      <c r="F25" s="627">
        <f>'Struttura Costi AZ. A'!F81</f>
        <v>0.2</v>
      </c>
      <c r="G25" s="656">
        <f t="shared" si="2"/>
        <v>29000</v>
      </c>
    </row>
    <row r="26" spans="1:7" ht="16.3">
      <c r="A26" s="646" t="str">
        <f>'Struttura Costi AZ. A'!A24</f>
        <v>ASSICURAZIONI</v>
      </c>
      <c r="B26" s="645"/>
      <c r="C26" s="653">
        <f>'Struttura Costi AZ. A'!B24</f>
        <v>137000</v>
      </c>
      <c r="D26" s="188">
        <f>'Struttura Costi AZ. A'!D82</f>
        <v>0.8</v>
      </c>
      <c r="E26" s="655">
        <f t="shared" si="3"/>
        <v>109600</v>
      </c>
      <c r="F26" s="627">
        <f>'Struttura Costi AZ. A'!F82</f>
        <v>0.2</v>
      </c>
      <c r="G26" s="656">
        <f t="shared" si="2"/>
        <v>27400</v>
      </c>
    </row>
    <row r="27" spans="1:7" ht="16.3">
      <c r="A27" s="646" t="str">
        <f>'Struttura Costi AZ. A'!A25</f>
        <v>MATERIALE DI CONSUMO</v>
      </c>
      <c r="B27" s="645"/>
      <c r="C27" s="653">
        <f>'Struttura Costi AZ. A'!B25</f>
        <v>122300</v>
      </c>
      <c r="D27" s="188">
        <f>'Struttura Costi AZ. A'!D83</f>
        <v>0.8</v>
      </c>
      <c r="E27" s="655">
        <f>D27*C27</f>
        <v>97840</v>
      </c>
      <c r="F27" s="627">
        <f>'Struttura Costi AZ. A'!F83</f>
        <v>0.2</v>
      </c>
      <c r="G27" s="656">
        <f>F27*C27</f>
        <v>24460</v>
      </c>
    </row>
    <row r="28" spans="1:7" ht="16.3">
      <c r="A28" s="646" t="str">
        <f>'Struttura Costi AZ. A'!A26</f>
        <v>AMMORTAMENTO</v>
      </c>
      <c r="B28" s="645"/>
      <c r="C28" s="653">
        <f>'Struttura Costi AZ. A'!B26</f>
        <v>535101</v>
      </c>
      <c r="D28" s="188">
        <f>'Struttura Costi AZ. A'!D84</f>
        <v>0.8</v>
      </c>
      <c r="E28" s="655">
        <f t="shared" si="3"/>
        <v>428080.80000000005</v>
      </c>
      <c r="F28" s="627">
        <f>'Struttura Costi AZ. A'!F84</f>
        <v>0.2</v>
      </c>
      <c r="G28" s="656">
        <f>F28*C28</f>
        <v>107020.20000000001</v>
      </c>
    </row>
    <row r="29" spans="1:7" ht="16.3">
      <c r="A29" s="646" t="str">
        <f>'Struttura Costi AZ. A'!A27</f>
        <v>LOCAZIONE IMMOBILE</v>
      </c>
      <c r="B29" s="645"/>
      <c r="C29" s="653">
        <f>'Struttura Costi AZ. A'!B27</f>
        <v>20781</v>
      </c>
      <c r="D29" s="188">
        <f>'Struttura Costi AZ. A'!D85</f>
        <v>0.8</v>
      </c>
      <c r="E29" s="655">
        <f t="shared" si="3"/>
        <v>16624.8</v>
      </c>
      <c r="F29" s="627">
        <f>'Struttura Costi AZ. A'!F85</f>
        <v>0.2</v>
      </c>
      <c r="G29" s="656">
        <f t="shared" si="2"/>
        <v>4156.2</v>
      </c>
    </row>
    <row r="30" spans="1:7" ht="16.3">
      <c r="A30" s="646" t="str">
        <f>'Struttura Costi AZ. A'!A28</f>
        <v>SPESE GENERALI</v>
      </c>
      <c r="B30" s="645"/>
      <c r="C30" s="653">
        <f>'Struttura Costi AZ. A'!B28</f>
        <v>418992</v>
      </c>
      <c r="D30" s="188">
        <f>'Struttura Costi AZ. A'!D86</f>
        <v>0.8</v>
      </c>
      <c r="E30" s="655">
        <f>D30*C30</f>
        <v>335193.60000000003</v>
      </c>
      <c r="F30" s="627">
        <f>'Struttura Costi AZ. A'!F86</f>
        <v>0.2</v>
      </c>
      <c r="G30" s="656">
        <f t="shared" si="2"/>
        <v>83798.400000000009</v>
      </c>
    </row>
    <row r="31" spans="1:7" ht="16.3">
      <c r="A31" s="673" t="str">
        <f>'Struttura Costi AZ. A'!A29</f>
        <v>TOTALE COSTI INDIRETTI</v>
      </c>
      <c r="B31" s="192"/>
      <c r="C31" s="654">
        <f>'Struttura Costi AZ. A'!B29</f>
        <v>4531069</v>
      </c>
      <c r="D31" s="193">
        <f>E31/C31</f>
        <v>0.79999999999999993</v>
      </c>
      <c r="E31" s="654">
        <f>SUM(E11:E30)</f>
        <v>3624855.1999999997</v>
      </c>
      <c r="F31" s="193">
        <f>G31/C31</f>
        <v>0.19999999999999998</v>
      </c>
      <c r="G31" s="654">
        <f>SUM(G11:G30)</f>
        <v>906213.79999999993</v>
      </c>
    </row>
    <row r="32" spans="1:7" ht="16.3">
      <c r="B32" s="192"/>
      <c r="D32" s="201"/>
      <c r="E32" s="202"/>
      <c r="F32" s="203"/>
      <c r="G32" s="645"/>
    </row>
    <row r="33" spans="1:7" ht="16.3">
      <c r="A33" s="673" t="str">
        <f>'Struttura Costi AZ. A'!A30</f>
        <v>TOTALE COSTI</v>
      </c>
      <c r="B33" s="192"/>
      <c r="C33" s="654">
        <f>'Struttura Costi AZ. A'!B30</f>
        <v>18959570.668545999</v>
      </c>
      <c r="D33" s="193">
        <f>E33/C33</f>
        <v>0.34339150646012451</v>
      </c>
      <c r="E33" s="654">
        <f>E8+E31</f>
        <v>6510555.5337092001</v>
      </c>
      <c r="F33" s="194">
        <f>G33/C33</f>
        <v>0.6566084935398756</v>
      </c>
      <c r="G33" s="654">
        <f>G8+G31</f>
        <v>12449015.1348368</v>
      </c>
    </row>
    <row r="34" spans="1:7" ht="16.3">
      <c r="A34" s="647"/>
      <c r="B34" s="204"/>
      <c r="C34" s="205"/>
      <c r="D34" s="206"/>
      <c r="E34" s="207"/>
      <c r="F34" s="208"/>
      <c r="G34" s="207"/>
    </row>
    <row r="35" spans="1:7" ht="15.05">
      <c r="A35" s="776" t="s">
        <v>30</v>
      </c>
      <c r="B35" s="776"/>
      <c r="C35" s="658">
        <f>C33</f>
        <v>18959570.668545999</v>
      </c>
      <c r="D35" s="648"/>
    </row>
    <row r="36" spans="1:7" ht="15.05">
      <c r="A36" s="776" t="s">
        <v>31</v>
      </c>
      <c r="B36" s="776"/>
      <c r="C36" s="658">
        <f>E33</f>
        <v>6510555.5337092001</v>
      </c>
      <c r="D36" s="648"/>
    </row>
    <row r="37" spans="1:7" ht="15.05">
      <c r="A37" s="776" t="s">
        <v>32</v>
      </c>
      <c r="B37" s="776"/>
      <c r="C37" s="658">
        <f>G33</f>
        <v>12449015.1348368</v>
      </c>
      <c r="D37" s="648"/>
    </row>
    <row r="38" spans="1:7" ht="15.05">
      <c r="A38" s="776" t="s">
        <v>33</v>
      </c>
      <c r="B38" s="776"/>
      <c r="C38" s="658">
        <f>G33/C40</f>
        <v>0.54176053616501985</v>
      </c>
      <c r="D38" s="648"/>
    </row>
    <row r="39" spans="1:7" ht="15.05">
      <c r="A39" s="776" t="s">
        <v>34</v>
      </c>
      <c r="B39" s="776"/>
      <c r="C39" s="658">
        <f>'Scheda Ricavi'!B12</f>
        <v>15849302.399999999</v>
      </c>
      <c r="D39" s="648"/>
    </row>
    <row r="40" spans="1:7" ht="15.05">
      <c r="A40" s="776" t="s">
        <v>225</v>
      </c>
      <c r="B40" s="776"/>
      <c r="C40" s="659">
        <f>'Struttura Ricavi'!B5+'Struttura Ricavi'!B10+'Struttura Ricavi'!B19+'Struttura Ricavi'!B24</f>
        <v>22978815</v>
      </c>
      <c r="D40" s="397"/>
    </row>
    <row r="41" spans="1:7" ht="15.05">
      <c r="A41" s="776" t="s">
        <v>226</v>
      </c>
      <c r="B41" s="776"/>
      <c r="C41" s="659">
        <f>'Struttura Ricavi'!B5+'Struttura Ricavi'!B10+'Struttura Ricavi'!B14+'Struttura Ricavi'!B15+'Struttura Ricavi'!B19+'Struttura Ricavi'!B24+'Struttura Ricavi'!B28+'Struttura Ricavi'!B29</f>
        <v>46950815</v>
      </c>
      <c r="D41" s="397"/>
    </row>
    <row r="42" spans="1:7" ht="15.05">
      <c r="A42" s="776" t="s">
        <v>223</v>
      </c>
      <c r="B42" s="776"/>
      <c r="C42" s="658">
        <f>C39/C40</f>
        <v>0.68973541063801591</v>
      </c>
      <c r="D42" s="397"/>
    </row>
    <row r="43" spans="1:7" ht="15.05">
      <c r="A43" s="777" t="s">
        <v>36</v>
      </c>
      <c r="B43" s="777"/>
      <c r="C43" s="658">
        <f>C36/(1-(C37/C39))</f>
        <v>30346778.198105559</v>
      </c>
      <c r="D43" s="649"/>
    </row>
    <row r="44" spans="1:7" ht="15.05">
      <c r="A44" s="777" t="s">
        <v>224</v>
      </c>
      <c r="B44" s="777"/>
      <c r="C44" s="660">
        <f>C36/(C42-C38)</f>
        <v>43997709.455042057</v>
      </c>
      <c r="D44" s="650"/>
    </row>
    <row r="45" spans="1:7" ht="15.05">
      <c r="A45" s="777" t="s">
        <v>240</v>
      </c>
      <c r="B45" s="777"/>
      <c r="C45" s="658">
        <f>C39-C37</f>
        <v>3400287.2651631981</v>
      </c>
      <c r="D45" s="650"/>
    </row>
    <row r="46" spans="1:7" ht="15.05">
      <c r="A46" s="777" t="s">
        <v>7</v>
      </c>
      <c r="B46" s="777"/>
      <c r="C46" s="661">
        <f>1/(1-(C36/C45))</f>
        <v>-1.0932456532930439</v>
      </c>
      <c r="D46" s="661">
        <f>(C39-C37)/'C.E. Riclassificato'!B34</f>
        <v>-1.0932456532930444</v>
      </c>
      <c r="E46" s="661">
        <f>C45/(C45-C36)</f>
        <v>-1.0932456532930437</v>
      </c>
    </row>
    <row r="47" spans="1:7" ht="15.05">
      <c r="A47" s="780" t="s">
        <v>254</v>
      </c>
      <c r="B47" s="777"/>
      <c r="C47" s="662">
        <f>IF(C44&lt;0,(C40+C44)/C40,(C40-C44)/C40)</f>
        <v>-0.91470750145479895</v>
      </c>
      <c r="D47" s="662">
        <f>IF(C43&lt;0,(C39+C43)/C39,(C39-C43)/C39)</f>
        <v>-0.91470750145479973</v>
      </c>
    </row>
    <row r="48" spans="1:7" ht="15.05">
      <c r="A48" s="28"/>
      <c r="D48" s="661"/>
    </row>
    <row r="49" spans="1:5" ht="13.15">
      <c r="A49" s="28"/>
      <c r="D49" s="651"/>
      <c r="E49" s="651"/>
    </row>
    <row r="50" spans="1:5" ht="13.15">
      <c r="A50" s="28"/>
      <c r="D50" s="565"/>
      <c r="E50" s="652"/>
    </row>
    <row r="51" spans="1:5" ht="13.15">
      <c r="A51" s="28"/>
      <c r="D51" s="565"/>
      <c r="E51" s="565"/>
    </row>
  </sheetData>
  <mergeCells count="15">
    <mergeCell ref="I2:J2"/>
    <mergeCell ref="A38:B38"/>
    <mergeCell ref="A39:B39"/>
    <mergeCell ref="A40:B40"/>
    <mergeCell ref="A47:B47"/>
    <mergeCell ref="A44:B44"/>
    <mergeCell ref="A46:B46"/>
    <mergeCell ref="A45:B45"/>
    <mergeCell ref="A1:G1"/>
    <mergeCell ref="A35:B35"/>
    <mergeCell ref="A36:B36"/>
    <mergeCell ref="A37:B37"/>
    <mergeCell ref="A43:B43"/>
    <mergeCell ref="A41:B41"/>
    <mergeCell ref="A42:B42"/>
  </mergeCells>
  <phoneticPr fontId="0" type="noConversion"/>
  <pageMargins left="0.3" right="0.46" top="0.42" bottom="0.37" header="0.28999999999999998" footer="0.25"/>
  <pageSetup paperSize="9" scale="61"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1"/>
  <dimension ref="A1:AN96"/>
  <sheetViews>
    <sheetView zoomScaleNormal="100" zoomScaleSheetLayoutView="75" workbookViewId="0">
      <selection activeCell="C43" sqref="C43"/>
    </sheetView>
  </sheetViews>
  <sheetFormatPr defaultColWidth="9.109375" defaultRowHeight="12.55"/>
  <cols>
    <col min="1" max="1" width="40" style="58" customWidth="1"/>
    <col min="2" max="2" width="3.44140625" style="58" customWidth="1"/>
    <col min="3" max="3" width="19.109375" style="58" customWidth="1"/>
    <col min="4" max="4" width="10.6640625" style="371" customWidth="1"/>
    <col min="5" max="5" width="19.109375" style="58" customWidth="1"/>
    <col min="6" max="6" width="10.5546875" style="371" customWidth="1"/>
    <col min="7" max="7" width="21.109375" style="58" customWidth="1"/>
    <col min="8" max="8" width="5.5546875" style="58" customWidth="1"/>
    <col min="9" max="9" width="7.109375" style="58" bestFit="1" customWidth="1"/>
    <col min="10" max="10" width="10" style="58" customWidth="1"/>
    <col min="11" max="11" width="15.109375" style="58" bestFit="1" customWidth="1"/>
    <col min="12" max="12" width="11.6640625" style="58" bestFit="1" customWidth="1"/>
    <col min="13" max="19" width="12.5546875" style="58" bestFit="1" customWidth="1"/>
    <col min="20" max="20" width="10.5546875" style="58" customWidth="1"/>
    <col min="21" max="21" width="10.109375" style="58" customWidth="1"/>
    <col min="22" max="22" width="7.88671875" style="58" customWidth="1"/>
    <col min="23" max="23" width="10.88671875" style="58" customWidth="1"/>
    <col min="24" max="24" width="6.44140625" style="58" customWidth="1"/>
    <col min="25" max="25" width="34.33203125" style="58" bestFit="1" customWidth="1"/>
    <col min="26" max="26" width="6.6640625" style="58" customWidth="1"/>
    <col min="27" max="27" width="10.44140625" style="58" customWidth="1"/>
    <col min="28" max="28" width="10.109375" style="58" customWidth="1"/>
    <col min="29" max="29" width="11.109375" style="58" customWidth="1"/>
    <col min="30" max="30" width="8" style="58" customWidth="1"/>
    <col min="31" max="31" width="10.33203125" style="58" customWidth="1"/>
    <col min="32" max="32" width="5.33203125" style="58" customWidth="1"/>
    <col min="33" max="33" width="34.33203125" style="58" bestFit="1" customWidth="1"/>
    <col min="34" max="34" width="6.44140625" style="58" customWidth="1"/>
    <col min="35" max="35" width="11.6640625" style="58" customWidth="1"/>
    <col min="36" max="36" width="11" style="58" customWidth="1"/>
    <col min="37" max="37" width="11.5546875" style="58" customWidth="1"/>
    <col min="38" max="38" width="8.5546875" style="58" customWidth="1"/>
    <col min="39" max="39" width="12.44140625" style="58" customWidth="1"/>
    <col min="40" max="40" width="6.33203125" style="58" customWidth="1"/>
    <col min="41" max="41" width="34.33203125" style="58" bestFit="1" customWidth="1"/>
    <col min="42" max="42" width="5" style="58" customWidth="1"/>
    <col min="43" max="43" width="12.33203125" style="58" customWidth="1"/>
    <col min="44" max="44" width="7.44140625" style="58" customWidth="1"/>
    <col min="45" max="45" width="10.5546875" style="58" customWidth="1"/>
    <col min="46" max="46" width="8.5546875" style="58" customWidth="1"/>
    <col min="47" max="47" width="11.109375" style="58" customWidth="1"/>
    <col min="48" max="16384" width="9.109375" style="58"/>
  </cols>
  <sheetData>
    <row r="1" spans="1:40" ht="13.8" thickBot="1">
      <c r="A1" s="774" t="s">
        <v>204</v>
      </c>
      <c r="B1" s="775"/>
      <c r="C1" s="775"/>
      <c r="D1" s="775"/>
      <c r="E1" s="775"/>
      <c r="F1" s="775"/>
      <c r="G1" s="775"/>
      <c r="H1" s="181"/>
      <c r="P1" s="181"/>
      <c r="X1" s="181"/>
      <c r="AF1" s="181"/>
      <c r="AN1" s="181"/>
    </row>
    <row r="2" spans="1:40" ht="13.15">
      <c r="A2" s="153" t="s">
        <v>1</v>
      </c>
      <c r="B2" s="612"/>
      <c r="C2" s="613">
        <v>44926</v>
      </c>
      <c r="D2" s="184" t="s">
        <v>3</v>
      </c>
      <c r="E2" s="184" t="s">
        <v>27</v>
      </c>
      <c r="F2" s="184" t="s">
        <v>3</v>
      </c>
      <c r="G2" s="184" t="s">
        <v>28</v>
      </c>
      <c r="I2" s="778">
        <f>C2</f>
        <v>44926</v>
      </c>
      <c r="J2" s="779"/>
      <c r="K2" s="614" t="s">
        <v>55</v>
      </c>
      <c r="L2" s="615">
        <v>0</v>
      </c>
      <c r="M2" s="615">
        <v>20000000</v>
      </c>
      <c r="N2" s="616">
        <v>30000000</v>
      </c>
      <c r="O2" s="616">
        <v>40000000</v>
      </c>
      <c r="P2" s="615">
        <v>50000000</v>
      </c>
      <c r="Q2" s="616">
        <v>60000000</v>
      </c>
      <c r="R2" s="615">
        <v>70000000</v>
      </c>
      <c r="S2" s="616">
        <v>80000000</v>
      </c>
    </row>
    <row r="3" spans="1:40" ht="15.05">
      <c r="A3" s="617" t="s">
        <v>29</v>
      </c>
      <c r="B3" s="156"/>
      <c r="C3" s="156"/>
      <c r="D3" s="618"/>
      <c r="E3" s="619"/>
      <c r="F3" s="620"/>
      <c r="G3" s="619"/>
      <c r="I3" s="621"/>
      <c r="J3" s="622"/>
      <c r="K3" s="623" t="s">
        <v>27</v>
      </c>
      <c r="L3" s="664">
        <f>M3</f>
        <v>3250402.3510260149</v>
      </c>
      <c r="M3" s="664">
        <f>E33</f>
        <v>3250402.3510260149</v>
      </c>
      <c r="N3" s="664">
        <f t="shared" ref="N3:S3" si="0">M3</f>
        <v>3250402.3510260149</v>
      </c>
      <c r="O3" s="664">
        <f t="shared" si="0"/>
        <v>3250402.3510260149</v>
      </c>
      <c r="P3" s="664">
        <f t="shared" si="0"/>
        <v>3250402.3510260149</v>
      </c>
      <c r="Q3" s="664">
        <f t="shared" si="0"/>
        <v>3250402.3510260149</v>
      </c>
      <c r="R3" s="664">
        <f t="shared" si="0"/>
        <v>3250402.3510260149</v>
      </c>
      <c r="S3" s="665">
        <f t="shared" si="0"/>
        <v>3250402.3510260149</v>
      </c>
    </row>
    <row r="4" spans="1:40" ht="16.3">
      <c r="A4" s="624"/>
      <c r="B4" s="625"/>
      <c r="C4" s="187"/>
      <c r="D4" s="188"/>
      <c r="E4" s="626"/>
      <c r="F4" s="627"/>
      <c r="G4" s="628"/>
      <c r="I4" s="629" t="s">
        <v>52</v>
      </c>
      <c r="J4" s="663">
        <f>C38</f>
        <v>0.53138962657443567</v>
      </c>
      <c r="K4" s="630" t="s">
        <v>28</v>
      </c>
      <c r="L4" s="666">
        <v>0</v>
      </c>
      <c r="M4" s="666">
        <f>M2*J4</f>
        <v>10627792.531488713</v>
      </c>
      <c r="N4" s="666">
        <f>N2*J4</f>
        <v>15941688.797233069</v>
      </c>
      <c r="O4" s="666">
        <f>O2*J4</f>
        <v>21255585.062977426</v>
      </c>
      <c r="P4" s="666">
        <f>P2*J4</f>
        <v>26569481.328721784</v>
      </c>
      <c r="Q4" s="666">
        <f>Q2*J4</f>
        <v>31883377.594466139</v>
      </c>
      <c r="R4" s="666">
        <f>R2*J4</f>
        <v>37197273.860210493</v>
      </c>
      <c r="S4" s="667">
        <f>S2*J4</f>
        <v>42511170.125954852</v>
      </c>
    </row>
    <row r="5" spans="1:40" ht="16.3">
      <c r="A5" s="631" t="s">
        <v>73</v>
      </c>
      <c r="B5" s="625"/>
      <c r="C5" s="653">
        <f>'Struttura Costi AZ. A'!B62</f>
        <v>7203446.0811219998</v>
      </c>
      <c r="D5" s="188">
        <f>'Struttura Costi AZ. A'!D62</f>
        <v>0.2</v>
      </c>
      <c r="E5" s="655">
        <f>D5*C5</f>
        <v>1440689.2162244001</v>
      </c>
      <c r="F5" s="627">
        <f>'Struttura Costi AZ. A'!F62</f>
        <v>0.8</v>
      </c>
      <c r="G5" s="656">
        <f>F5*C5</f>
        <v>5762756.8648976004</v>
      </c>
      <c r="I5" s="629" t="s">
        <v>53</v>
      </c>
      <c r="J5" s="632">
        <f>C40</f>
        <v>11696098</v>
      </c>
      <c r="K5" s="633" t="s">
        <v>56</v>
      </c>
      <c r="L5" s="668">
        <f t="shared" ref="L5:S5" si="1">L3+L4</f>
        <v>3250402.3510260149</v>
      </c>
      <c r="M5" s="668">
        <f t="shared" si="1"/>
        <v>13878194.882514728</v>
      </c>
      <c r="N5" s="668">
        <f t="shared" si="1"/>
        <v>19192091.148259085</v>
      </c>
      <c r="O5" s="668">
        <f t="shared" si="1"/>
        <v>24505987.414003439</v>
      </c>
      <c r="P5" s="668">
        <f t="shared" si="1"/>
        <v>29819883.679747798</v>
      </c>
      <c r="Q5" s="668">
        <f t="shared" si="1"/>
        <v>35133779.945492156</v>
      </c>
      <c r="R5" s="668">
        <f t="shared" si="1"/>
        <v>40447676.211236507</v>
      </c>
      <c r="S5" s="669">
        <f t="shared" si="1"/>
        <v>45761572.476980865</v>
      </c>
    </row>
    <row r="6" spans="1:40" ht="16.3">
      <c r="A6" s="634"/>
      <c r="B6" s="625"/>
      <c r="C6" s="653"/>
      <c r="D6" s="188"/>
      <c r="E6" s="655"/>
      <c r="F6" s="627"/>
      <c r="G6" s="656"/>
      <c r="I6" s="635" t="s">
        <v>54</v>
      </c>
      <c r="J6" s="663">
        <f>C39/C40</f>
        <v>0.62134216043675417</v>
      </c>
      <c r="K6" s="636" t="s">
        <v>57</v>
      </c>
      <c r="L6" s="670">
        <v>0</v>
      </c>
      <c r="M6" s="670">
        <f>J6*M2</f>
        <v>12426843.208735084</v>
      </c>
      <c r="N6" s="670">
        <f>J6*N2</f>
        <v>18640264.813102625</v>
      </c>
      <c r="O6" s="670">
        <f>J6*O2</f>
        <v>24853686.417470168</v>
      </c>
      <c r="P6" s="670">
        <f>J6*P2</f>
        <v>31067108.021837708</v>
      </c>
      <c r="Q6" s="670">
        <f>J6*Q2</f>
        <v>37280529.626205251</v>
      </c>
      <c r="R6" s="670">
        <f>J6*R2</f>
        <v>43493951.23057279</v>
      </c>
      <c r="S6" s="671">
        <f>J6*S2</f>
        <v>49707372.834940337</v>
      </c>
    </row>
    <row r="7" spans="1:40" ht="16.899999999999999" thickBot="1">
      <c r="A7" s="637"/>
      <c r="B7" s="625"/>
      <c r="C7" s="653"/>
      <c r="D7" s="188"/>
      <c r="E7" s="655"/>
      <c r="F7" s="627"/>
      <c r="G7" s="656"/>
      <c r="I7" s="638"/>
      <c r="J7" s="639"/>
      <c r="K7" s="639"/>
      <c r="L7" s="639"/>
      <c r="M7" s="639"/>
      <c r="N7" s="639"/>
      <c r="O7" s="639"/>
      <c r="P7" s="639"/>
      <c r="Q7" s="639"/>
      <c r="R7" s="639"/>
      <c r="S7" s="640"/>
    </row>
    <row r="8" spans="1:40" ht="16.3">
      <c r="A8" s="641" t="s">
        <v>49</v>
      </c>
      <c r="B8" s="192"/>
      <c r="C8" s="654">
        <f>SUM(C4:C7)</f>
        <v>7203446.0811219998</v>
      </c>
      <c r="D8" s="193">
        <f>E8/C8</f>
        <v>0.2</v>
      </c>
      <c r="E8" s="654">
        <f>SUM(E4:E7)</f>
        <v>1440689.2162244001</v>
      </c>
      <c r="F8" s="194">
        <f>G8/C8</f>
        <v>0.8</v>
      </c>
      <c r="G8" s="657">
        <f>SUM(G4:G7)</f>
        <v>5762756.8648976004</v>
      </c>
    </row>
    <row r="9" spans="1:40" ht="16.3">
      <c r="B9" s="565"/>
      <c r="C9" s="196"/>
      <c r="D9" s="197"/>
      <c r="E9" s="103"/>
      <c r="F9" s="642"/>
      <c r="G9" s="565"/>
    </row>
    <row r="10" spans="1:40" ht="16.3">
      <c r="A10" s="643" t="s">
        <v>9</v>
      </c>
      <c r="B10" s="156"/>
      <c r="C10" s="198"/>
      <c r="D10" s="199"/>
      <c r="E10" s="180"/>
      <c r="F10" s="644"/>
      <c r="G10" s="645"/>
    </row>
    <row r="11" spans="1:40" ht="16.3">
      <c r="A11" s="646" t="str">
        <f>'Struttura Costi AZ. A'!A9</f>
        <v>PERSONALE</v>
      </c>
      <c r="B11" s="645"/>
      <c r="C11" s="653">
        <f>'Struttura Costi AZ. A'!B9*'Struttura Costi AZ. A'!F$51</f>
        <v>784991.05874203355</v>
      </c>
      <c r="D11" s="188">
        <f>'Struttura Costi AZ. A'!D67</f>
        <v>0.8</v>
      </c>
      <c r="E11" s="655">
        <f>D11*C11</f>
        <v>627992.84699362691</v>
      </c>
      <c r="F11" s="627">
        <f>'Struttura Costi AZ. A'!F67</f>
        <v>0.2</v>
      </c>
      <c r="G11" s="656">
        <f t="shared" ref="G11:G30" si="2">F11*C11</f>
        <v>156998.21174840673</v>
      </c>
    </row>
    <row r="12" spans="1:40" ht="16.3">
      <c r="A12" s="646" t="str">
        <f>'Struttura Costi AZ. A'!A10</f>
        <v>TELEFONO</v>
      </c>
      <c r="B12" s="645"/>
      <c r="C12" s="653">
        <f>'Struttura Costi AZ. A'!B10*'Struttura Costi AZ. A'!F$51</f>
        <v>28711.933757365216</v>
      </c>
      <c r="D12" s="188">
        <f>'Struttura Costi AZ. A'!D68</f>
        <v>0.8</v>
      </c>
      <c r="E12" s="655">
        <f>D12*C12</f>
        <v>22969.547005892175</v>
      </c>
      <c r="F12" s="627">
        <f>'Struttura Costi AZ. A'!F68</f>
        <v>0.2</v>
      </c>
      <c r="G12" s="656">
        <f t="shared" si="2"/>
        <v>5742.3867514730437</v>
      </c>
    </row>
    <row r="13" spans="1:40" ht="16.3">
      <c r="A13" s="646" t="str">
        <f>'Struttura Costi AZ. A'!A11</f>
        <v>ACQUA</v>
      </c>
      <c r="B13" s="645"/>
      <c r="C13" s="653">
        <f>'Struttura Costi AZ. A'!B11*'Struttura Costi AZ. A'!F$51</f>
        <v>54967.551846390372</v>
      </c>
      <c r="D13" s="188">
        <f>'Struttura Costi AZ. A'!D69</f>
        <v>0.8</v>
      </c>
      <c r="E13" s="655">
        <f t="shared" ref="E13:E30" si="3">D13*C13</f>
        <v>43974.041477112303</v>
      </c>
      <c r="F13" s="627">
        <f>'Struttura Costi AZ. A'!F69</f>
        <v>0.2</v>
      </c>
      <c r="G13" s="656">
        <f t="shared" si="2"/>
        <v>10993.510369278076</v>
      </c>
    </row>
    <row r="14" spans="1:40" ht="16.3">
      <c r="A14" s="646" t="str">
        <f>'Struttura Costi AZ. A'!A12</f>
        <v>GAS</v>
      </c>
      <c r="B14" s="645"/>
      <c r="C14" s="653">
        <f>'Struttura Costi AZ. A'!B12*'Struttura Costi AZ. A'!F$51</f>
        <v>57902.150118443802</v>
      </c>
      <c r="D14" s="188">
        <f>'Struttura Costi AZ. A'!D70</f>
        <v>0.8</v>
      </c>
      <c r="E14" s="655">
        <f t="shared" si="3"/>
        <v>46321.720094755045</v>
      </c>
      <c r="F14" s="627">
        <f>'Struttura Costi AZ. A'!F70</f>
        <v>0.2</v>
      </c>
      <c r="G14" s="656">
        <f t="shared" si="2"/>
        <v>11580.430023688761</v>
      </c>
    </row>
    <row r="15" spans="1:40" ht="16.3">
      <c r="A15" s="646" t="str">
        <f>'Struttura Costi AZ. A'!A13</f>
        <v>ENERGIA</v>
      </c>
      <c r="B15" s="645"/>
      <c r="C15" s="653">
        <f>'Struttura Costi AZ. A'!B13*'Struttura Costi AZ. A'!F$51</f>
        <v>32601.100232236975</v>
      </c>
      <c r="D15" s="188">
        <f>'Struttura Costi AZ. A'!D71</f>
        <v>0.8</v>
      </c>
      <c r="E15" s="655">
        <f t="shared" si="3"/>
        <v>26080.880185789581</v>
      </c>
      <c r="F15" s="627">
        <f>'Struttura Costi AZ. A'!F71</f>
        <v>0.2</v>
      </c>
      <c r="G15" s="656">
        <f t="shared" si="2"/>
        <v>6520.2200464473954</v>
      </c>
    </row>
    <row r="16" spans="1:40" ht="16.3">
      <c r="A16" s="646" t="str">
        <f>'Struttura Costi AZ. A'!A14</f>
        <v>ALTRE UTENZE</v>
      </c>
      <c r="B16" s="645"/>
      <c r="C16" s="653">
        <f>'Struttura Costi AZ. A'!B14*'Struttura Costi AZ. A'!F$51</f>
        <v>32601.100232236975</v>
      </c>
      <c r="D16" s="188">
        <f>'Struttura Costi AZ. A'!D72</f>
        <v>0.8</v>
      </c>
      <c r="E16" s="655">
        <f t="shared" si="3"/>
        <v>26080.880185789581</v>
      </c>
      <c r="F16" s="627">
        <f>'Struttura Costi AZ. A'!F72</f>
        <v>0.2</v>
      </c>
      <c r="G16" s="656">
        <f t="shared" si="2"/>
        <v>6520.2200464473954</v>
      </c>
    </row>
    <row r="17" spans="1:7" ht="16.3">
      <c r="A17" s="646" t="str">
        <f>'Struttura Costi AZ. A'!A15</f>
        <v>CONSULENZE FISCALI E LEGALI</v>
      </c>
      <c r="B17" s="645"/>
      <c r="C17" s="653">
        <f>'Struttura Costi AZ. A'!B15*'Struttura Costi AZ. A'!F$51</f>
        <v>37693.461983673689</v>
      </c>
      <c r="D17" s="188">
        <f>'Struttura Costi AZ. A'!D73</f>
        <v>0.8</v>
      </c>
      <c r="E17" s="655">
        <f t="shared" si="3"/>
        <v>30154.769586938954</v>
      </c>
      <c r="F17" s="627">
        <f>'Struttura Costi AZ. A'!F73</f>
        <v>0.2</v>
      </c>
      <c r="G17" s="656">
        <f t="shared" si="2"/>
        <v>7538.6923967347384</v>
      </c>
    </row>
    <row r="18" spans="1:7" ht="16.3">
      <c r="A18" s="646" t="str">
        <f>'Struttura Costi AZ. A'!A16</f>
        <v>CONSULENZE TECNICHE</v>
      </c>
      <c r="B18" s="645"/>
      <c r="C18" s="653">
        <f>'Struttura Costi AZ. A'!B16*'Struttura Costi AZ. A'!F$51</f>
        <v>66350.478114307727</v>
      </c>
      <c r="D18" s="188">
        <f>'Struttura Costi AZ. A'!D74</f>
        <v>0.8</v>
      </c>
      <c r="E18" s="655">
        <f t="shared" si="3"/>
        <v>53080.382491446187</v>
      </c>
      <c r="F18" s="627">
        <f>'Struttura Costi AZ. A'!F74</f>
        <v>0.2</v>
      </c>
      <c r="G18" s="656">
        <f t="shared" si="2"/>
        <v>13270.095622861547</v>
      </c>
    </row>
    <row r="19" spans="1:7" ht="16.3">
      <c r="A19" s="646" t="str">
        <f>'Struttura Costi AZ. A'!A17</f>
        <v>COMPENSI AMMINISTRATORI</v>
      </c>
      <c r="B19" s="645"/>
      <c r="C19" s="653">
        <f>'Struttura Costi AZ. A'!B17*'Struttura Costi AZ. A'!F$51</f>
        <v>170743.89401876027</v>
      </c>
      <c r="D19" s="188">
        <f>'Struttura Costi AZ. A'!D75</f>
        <v>0.8</v>
      </c>
      <c r="E19" s="655">
        <f t="shared" si="3"/>
        <v>136595.11521500823</v>
      </c>
      <c r="F19" s="627">
        <f>'Struttura Costi AZ. A'!F75</f>
        <v>0.2</v>
      </c>
      <c r="G19" s="656">
        <f t="shared" si="2"/>
        <v>34148.778803752059</v>
      </c>
    </row>
    <row r="20" spans="1:7" ht="16.3">
      <c r="A20" s="646" t="str">
        <f>'Struttura Costi AZ. A'!A18</f>
        <v>PROMOZIONE/PUBBL.</v>
      </c>
      <c r="B20" s="645"/>
      <c r="C20" s="653">
        <f>'Struttura Costi AZ. A'!B18*'Struttura Costi AZ. A'!F$51</f>
        <v>84872.695857278493</v>
      </c>
      <c r="D20" s="188">
        <f>'Struttura Costi AZ. A'!D76</f>
        <v>0.8</v>
      </c>
      <c r="E20" s="655">
        <f t="shared" si="3"/>
        <v>67898.156685822803</v>
      </c>
      <c r="F20" s="627">
        <f>'Struttura Costi AZ. A'!F76</f>
        <v>0.2</v>
      </c>
      <c r="G20" s="656">
        <f t="shared" si="2"/>
        <v>16974.539171455701</v>
      </c>
    </row>
    <row r="21" spans="1:7" ht="16.3">
      <c r="A21" s="646" t="str">
        <f>'Struttura Costi AZ. A'!A19</f>
        <v>VIAGGI</v>
      </c>
      <c r="B21" s="645"/>
      <c r="C21" s="653">
        <f>'Struttura Costi AZ. A'!B19*'Struttura Costi AZ. A'!F$51</f>
        <v>36669.99712186533</v>
      </c>
      <c r="D21" s="188">
        <f>'Struttura Costi AZ. A'!D77</f>
        <v>0.8</v>
      </c>
      <c r="E21" s="655">
        <f t="shared" si="3"/>
        <v>29335.997697492265</v>
      </c>
      <c r="F21" s="627">
        <f>'Struttura Costi AZ. A'!F77</f>
        <v>0.2</v>
      </c>
      <c r="G21" s="656">
        <f t="shared" si="2"/>
        <v>7333.9994243730662</v>
      </c>
    </row>
    <row r="22" spans="1:7" ht="16.3">
      <c r="A22" s="646" t="str">
        <f>'Struttura Costi AZ. A'!A20</f>
        <v>FIERE</v>
      </c>
      <c r="B22" s="645"/>
      <c r="C22" s="653">
        <f>'Struttura Costi AZ. A'!B20*'Struttura Costi AZ. A'!F$51</f>
        <v>65491.766132692901</v>
      </c>
      <c r="D22" s="188">
        <f>'Struttura Costi AZ. A'!D78</f>
        <v>0.8</v>
      </c>
      <c r="E22" s="655">
        <f t="shared" si="3"/>
        <v>52393.412906154321</v>
      </c>
      <c r="F22" s="627">
        <f>'Struttura Costi AZ. A'!F78</f>
        <v>0.2</v>
      </c>
      <c r="G22" s="656">
        <f t="shared" si="2"/>
        <v>13098.35322653858</v>
      </c>
    </row>
    <row r="23" spans="1:7" ht="16.3">
      <c r="A23" s="646" t="str">
        <f>'Struttura Costi AZ. A'!A21</f>
        <v>PROVVIGIONI E RIMBORSO SPESE</v>
      </c>
      <c r="B23" s="645"/>
      <c r="C23" s="653">
        <f>'Struttura Costi AZ. A'!B21*'Struttura Costi AZ. A'!F$51</f>
        <v>53589.618666589849</v>
      </c>
      <c r="D23" s="188">
        <f>'Struttura Costi AZ. A'!D79</f>
        <v>0.8</v>
      </c>
      <c r="E23" s="655">
        <f t="shared" si="3"/>
        <v>42871.69493327188</v>
      </c>
      <c r="F23" s="627">
        <f>'Struttura Costi AZ. A'!F79</f>
        <v>0.2</v>
      </c>
      <c r="G23" s="656">
        <f t="shared" si="2"/>
        <v>10717.92373331797</v>
      </c>
    </row>
    <row r="24" spans="1:7" ht="16.3">
      <c r="A24" s="646" t="str">
        <f>'Struttura Costi AZ. A'!A22</f>
        <v>MANUTENZIONE</v>
      </c>
      <c r="B24" s="645"/>
      <c r="C24" s="653">
        <f>'Struttura Costi AZ. A'!B22*'Struttura Costi AZ. A'!F$51</f>
        <v>66400.403229517891</v>
      </c>
      <c r="D24" s="188">
        <f>'Struttura Costi AZ. A'!D80</f>
        <v>0.8</v>
      </c>
      <c r="E24" s="655">
        <f t="shared" si="3"/>
        <v>53120.322583614317</v>
      </c>
      <c r="F24" s="627">
        <f>'Struttura Costi AZ. A'!F80</f>
        <v>0.2</v>
      </c>
      <c r="G24" s="656">
        <f t="shared" si="2"/>
        <v>13280.080645903579</v>
      </c>
    </row>
    <row r="25" spans="1:7" ht="16.3">
      <c r="A25" s="646" t="str">
        <f>'Struttura Costi AZ. A'!A23</f>
        <v>TRASPORTO</v>
      </c>
      <c r="B25" s="645"/>
      <c r="C25" s="653">
        <f>'Struttura Costi AZ. A'!B23*'Struttura Costi AZ. A'!F$51</f>
        <v>72391.41705473754</v>
      </c>
      <c r="D25" s="188">
        <f>'Struttura Costi AZ. A'!D81</f>
        <v>0.8</v>
      </c>
      <c r="E25" s="655">
        <f t="shared" si="3"/>
        <v>57913.133643790032</v>
      </c>
      <c r="F25" s="627">
        <f>'Struttura Costi AZ. A'!F81</f>
        <v>0.2</v>
      </c>
      <c r="G25" s="656">
        <f t="shared" si="2"/>
        <v>14478.283410947508</v>
      </c>
    </row>
    <row r="26" spans="1:7" ht="16.3">
      <c r="A26" s="646" t="str">
        <f>'Struttura Costi AZ. A'!A24</f>
        <v>ASSICURAZIONI</v>
      </c>
      <c r="B26" s="645"/>
      <c r="C26" s="653">
        <f>'Struttura Costi AZ. A'!B24*'Struttura Costi AZ. A'!F$51</f>
        <v>68397.407837924431</v>
      </c>
      <c r="D26" s="188">
        <f>'Struttura Costi AZ. A'!D82</f>
        <v>0.8</v>
      </c>
      <c r="E26" s="655">
        <f t="shared" si="3"/>
        <v>54717.926270339551</v>
      </c>
      <c r="F26" s="627">
        <f>'Struttura Costi AZ. A'!F82</f>
        <v>0.2</v>
      </c>
      <c r="G26" s="656">
        <f t="shared" si="2"/>
        <v>13679.481567584888</v>
      </c>
    </row>
    <row r="27" spans="1:7" ht="16.3">
      <c r="A27" s="646" t="str">
        <f>'Struttura Costi AZ. A'!A25</f>
        <v>MATERIALE DI CONSUMO</v>
      </c>
      <c r="B27" s="645"/>
      <c r="C27" s="653">
        <f>'Struttura Costi AZ. A'!B25*'Struttura Costi AZ. A'!F$51</f>
        <v>61058.415902030356</v>
      </c>
      <c r="D27" s="188">
        <f>'Struttura Costi AZ. A'!D83</f>
        <v>0.8</v>
      </c>
      <c r="E27" s="655">
        <f t="shared" si="3"/>
        <v>48846.732721624285</v>
      </c>
      <c r="F27" s="627">
        <f>'Struttura Costi AZ. A'!F83</f>
        <v>0.2</v>
      </c>
      <c r="G27" s="656">
        <f t="shared" si="2"/>
        <v>12211.683180406071</v>
      </c>
    </row>
    <row r="28" spans="1:7" ht="16.3">
      <c r="A28" s="646" t="str">
        <f>'Struttura Costi AZ. A'!A26</f>
        <v>AMMORTAMENTO</v>
      </c>
      <c r="B28" s="645"/>
      <c r="C28" s="653">
        <f>'Struttura Costi AZ. A'!B26*'Struttura Costi AZ. A'!F$51</f>
        <v>267149.79074073874</v>
      </c>
      <c r="D28" s="188">
        <f>'Struttura Costi AZ. A'!D84</f>
        <v>0.8</v>
      </c>
      <c r="E28" s="655">
        <f t="shared" si="3"/>
        <v>213719.832592591</v>
      </c>
      <c r="F28" s="627">
        <f>'Struttura Costi AZ. A'!F84</f>
        <v>0.2</v>
      </c>
      <c r="G28" s="656">
        <f t="shared" si="2"/>
        <v>53429.958148147751</v>
      </c>
    </row>
    <row r="29" spans="1:7" ht="16.3">
      <c r="A29" s="646" t="str">
        <f>'Struttura Costi AZ. A'!A27</f>
        <v>LOCAZIONE IMMOBILE</v>
      </c>
      <c r="B29" s="645"/>
      <c r="C29" s="653">
        <f>'Struttura Costi AZ. A'!B27*'Struttura Costi AZ. A'!F$51</f>
        <v>10374.938191824143</v>
      </c>
      <c r="D29" s="188">
        <f>'Struttura Costi AZ. A'!D85</f>
        <v>0.8</v>
      </c>
      <c r="E29" s="655">
        <f>D29*C29</f>
        <v>8299.9505534593154</v>
      </c>
      <c r="F29" s="627">
        <f>'Struttura Costi AZ. A'!F85</f>
        <v>0.2</v>
      </c>
      <c r="G29" s="656">
        <f t="shared" si="2"/>
        <v>2074.9876383648289</v>
      </c>
    </row>
    <row r="30" spans="1:7" ht="16.3">
      <c r="A30" s="646" t="str">
        <f>'Struttura Costi AZ. A'!A28</f>
        <v>SPESE GENERALI</v>
      </c>
      <c r="B30" s="645"/>
      <c r="C30" s="653">
        <f>'Struttura Costi AZ. A'!B28*'Struttura Costi AZ. A'!F$51</f>
        <v>209182.23872136959</v>
      </c>
      <c r="D30" s="188">
        <f>'Struttura Costi AZ. A'!D86</f>
        <v>0.8</v>
      </c>
      <c r="E30" s="655">
        <f t="shared" si="3"/>
        <v>167345.79097709569</v>
      </c>
      <c r="F30" s="627">
        <f>'Struttura Costi AZ. A'!F86</f>
        <v>0.2</v>
      </c>
      <c r="G30" s="656">
        <f t="shared" si="2"/>
        <v>41836.447744273923</v>
      </c>
    </row>
    <row r="31" spans="1:7" ht="16.3">
      <c r="A31" s="646" t="str">
        <f>'Struttura Costi AZ. A'!A29</f>
        <v>TOTALE COSTI INDIRETTI</v>
      </c>
      <c r="B31" s="192"/>
      <c r="C31" s="654">
        <f>SUM(C11:C30)</f>
        <v>2262141.4185020183</v>
      </c>
      <c r="D31" s="193"/>
      <c r="E31" s="654">
        <f>SUM(E11:E30)</f>
        <v>1809713.1348016148</v>
      </c>
      <c r="F31" s="193"/>
      <c r="G31" s="654">
        <f>SUM(G11:G30)</f>
        <v>452428.2837004037</v>
      </c>
    </row>
    <row r="32" spans="1:7" ht="16.3">
      <c r="B32" s="192"/>
      <c r="D32" s="201"/>
      <c r="E32" s="202"/>
      <c r="F32" s="203"/>
      <c r="G32" s="645"/>
    </row>
    <row r="33" spans="1:7" ht="16.3">
      <c r="A33" s="646" t="str">
        <f>'Struttura Costi AZ. A'!A30</f>
        <v>TOTALE COSTI</v>
      </c>
      <c r="B33" s="192"/>
      <c r="C33" s="654">
        <f>C8+C31</f>
        <v>9465587.4996240176</v>
      </c>
      <c r="D33" s="193">
        <f>E33/C33</f>
        <v>0.34339150646012451</v>
      </c>
      <c r="E33" s="654">
        <f>E8+E31</f>
        <v>3250402.3510260149</v>
      </c>
      <c r="F33" s="194">
        <f>G33/C33</f>
        <v>0.6566084935398756</v>
      </c>
      <c r="G33" s="654">
        <f>G8+G31</f>
        <v>6215185.1485980041</v>
      </c>
    </row>
    <row r="34" spans="1:7" ht="16.3">
      <c r="A34" s="647"/>
      <c r="B34" s="204"/>
      <c r="C34" s="205"/>
      <c r="D34" s="206"/>
      <c r="E34" s="207"/>
      <c r="F34" s="208"/>
      <c r="G34" s="207"/>
    </row>
    <row r="35" spans="1:7" ht="15.05">
      <c r="A35" s="776" t="s">
        <v>30</v>
      </c>
      <c r="B35" s="781"/>
      <c r="C35" s="658">
        <f>C33</f>
        <v>9465587.4996240176</v>
      </c>
      <c r="D35" s="648"/>
    </row>
    <row r="36" spans="1:7" ht="15.05">
      <c r="A36" s="776" t="s">
        <v>31</v>
      </c>
      <c r="B36" s="781"/>
      <c r="C36" s="658">
        <f>E33</f>
        <v>3250402.3510260149</v>
      </c>
      <c r="D36" s="648"/>
    </row>
    <row r="37" spans="1:7" ht="15.05">
      <c r="A37" s="776" t="s">
        <v>32</v>
      </c>
      <c r="B37" s="781"/>
      <c r="C37" s="658">
        <f>G33</f>
        <v>6215185.1485980041</v>
      </c>
      <c r="D37" s="648"/>
    </row>
    <row r="38" spans="1:7" ht="15.05">
      <c r="A38" s="776" t="s">
        <v>33</v>
      </c>
      <c r="B38" s="781"/>
      <c r="C38" s="658">
        <f>G33/C40</f>
        <v>0.53138962657443567</v>
      </c>
      <c r="D38" s="648"/>
    </row>
    <row r="39" spans="1:7" ht="15.05">
      <c r="A39" s="776" t="s">
        <v>34</v>
      </c>
      <c r="B39" s="781"/>
      <c r="C39" s="658">
        <f>'Scheda Ricavi'!B6</f>
        <v>7267278.7999999998</v>
      </c>
      <c r="D39" s="648"/>
    </row>
    <row r="40" spans="1:7" ht="15.05">
      <c r="A40" s="776" t="s">
        <v>225</v>
      </c>
      <c r="B40" s="781"/>
      <c r="C40" s="659">
        <f>'Struttura Ricavi'!B5+'Struttura Ricavi'!B10</f>
        <v>11696098</v>
      </c>
      <c r="D40" s="397"/>
    </row>
    <row r="41" spans="1:7" ht="15.05">
      <c r="A41" s="776" t="s">
        <v>226</v>
      </c>
      <c r="B41" s="781"/>
      <c r="C41" s="659">
        <f>'Struttura Ricavi'!B5+'Struttura Ricavi'!B10+'Struttura Ricavi'!B14+'Struttura Ricavi'!B15</f>
        <v>25236098</v>
      </c>
      <c r="D41" s="397"/>
    </row>
    <row r="42" spans="1:7" ht="15.05">
      <c r="A42" s="776" t="s">
        <v>223</v>
      </c>
      <c r="B42" s="783"/>
      <c r="C42" s="658">
        <f>C39/C40</f>
        <v>0.62134216043675417</v>
      </c>
      <c r="D42" s="397"/>
    </row>
    <row r="43" spans="1:7" ht="15.05">
      <c r="A43" s="777" t="s">
        <v>36</v>
      </c>
      <c r="B43" s="782"/>
      <c r="C43" s="658">
        <f>C36/(1-(C37/C39))</f>
        <v>22451974.751110747</v>
      </c>
      <c r="D43" s="649"/>
    </row>
    <row r="44" spans="1:7" ht="15.05">
      <c r="A44" s="777" t="s">
        <v>224</v>
      </c>
      <c r="B44" s="782"/>
      <c r="C44" s="660">
        <f>C36/(C42-C38)</f>
        <v>36134639.142028913</v>
      </c>
      <c r="D44" s="650"/>
    </row>
    <row r="45" spans="1:7" ht="15.05">
      <c r="A45" s="777" t="s">
        <v>240</v>
      </c>
      <c r="B45" s="784"/>
      <c r="C45" s="658">
        <f>C39-C37</f>
        <v>1052093.6514019957</v>
      </c>
      <c r="D45" s="650"/>
    </row>
    <row r="46" spans="1:7" ht="15.05">
      <c r="A46" s="777" t="s">
        <v>7</v>
      </c>
      <c r="B46" s="782"/>
      <c r="C46" s="661">
        <f>1/(1-(C36/C45))</f>
        <v>-0.47859231580257006</v>
      </c>
      <c r="D46" s="565"/>
      <c r="E46" s="565"/>
    </row>
    <row r="47" spans="1:7" ht="15.05">
      <c r="A47" s="780" t="s">
        <v>254</v>
      </c>
      <c r="B47" s="784"/>
      <c r="C47" s="662">
        <f>IF(C44&lt;0,(C40+C44)/C40,(C40-C44)/C40)</f>
        <v>-2.0894610443610264</v>
      </c>
      <c r="D47" s="58"/>
    </row>
    <row r="48" spans="1:7" ht="13.15">
      <c r="A48" s="28"/>
      <c r="D48" s="58"/>
    </row>
    <row r="49" spans="1:40" ht="13.15">
      <c r="A49" s="28"/>
      <c r="D49" s="651"/>
      <c r="E49" s="651"/>
    </row>
    <row r="50" spans="1:40" s="12" customFormat="1" ht="13.8" thickBot="1">
      <c r="A50" s="774" t="s">
        <v>204</v>
      </c>
      <c r="B50" s="775"/>
      <c r="C50" s="775"/>
      <c r="D50" s="775"/>
      <c r="E50" s="775"/>
      <c r="F50" s="775"/>
      <c r="G50" s="775"/>
      <c r="H50" s="181"/>
      <c r="P50" s="181"/>
      <c r="X50" s="181"/>
      <c r="AF50" s="181"/>
      <c r="AN50" s="181"/>
    </row>
    <row r="51" spans="1:40" s="12" customFormat="1" ht="13.15">
      <c r="A51" s="153" t="s">
        <v>1</v>
      </c>
      <c r="B51" s="612"/>
      <c r="C51" s="613">
        <v>44926</v>
      </c>
      <c r="D51" s="184" t="s">
        <v>3</v>
      </c>
      <c r="E51" s="184" t="s">
        <v>27</v>
      </c>
      <c r="F51" s="184" t="s">
        <v>3</v>
      </c>
      <c r="G51" s="184" t="s">
        <v>28</v>
      </c>
      <c r="I51" s="778">
        <f>C51</f>
        <v>44926</v>
      </c>
      <c r="J51" s="779"/>
      <c r="K51" s="614" t="s">
        <v>55</v>
      </c>
      <c r="L51" s="615">
        <v>0</v>
      </c>
      <c r="M51" s="615">
        <v>10000000</v>
      </c>
      <c r="N51" s="616">
        <v>15000000</v>
      </c>
      <c r="O51" s="616">
        <v>20000000</v>
      </c>
      <c r="P51" s="615">
        <v>25000000</v>
      </c>
      <c r="Q51" s="616">
        <v>30000000</v>
      </c>
      <c r="R51" s="615">
        <v>35000000</v>
      </c>
      <c r="S51" s="616">
        <v>40000000</v>
      </c>
    </row>
    <row r="52" spans="1:40" s="12" customFormat="1" ht="15.05">
      <c r="A52" s="617" t="s">
        <v>29</v>
      </c>
      <c r="B52" s="156"/>
      <c r="C52" s="156"/>
      <c r="D52" s="618"/>
      <c r="E52" s="619"/>
      <c r="F52" s="620"/>
      <c r="G52" s="619"/>
      <c r="I52" s="621"/>
      <c r="J52" s="622"/>
      <c r="K52" s="623" t="s">
        <v>27</v>
      </c>
      <c r="L52" s="664">
        <f>M52</f>
        <v>3260153.1826831857</v>
      </c>
      <c r="M52" s="664">
        <f>E82</f>
        <v>3260153.1826831857</v>
      </c>
      <c r="N52" s="664">
        <f t="shared" ref="N52:S52" si="4">M52</f>
        <v>3260153.1826831857</v>
      </c>
      <c r="O52" s="664">
        <f t="shared" si="4"/>
        <v>3260153.1826831857</v>
      </c>
      <c r="P52" s="664">
        <f t="shared" si="4"/>
        <v>3260153.1826831857</v>
      </c>
      <c r="Q52" s="664">
        <f t="shared" si="4"/>
        <v>3260153.1826831857</v>
      </c>
      <c r="R52" s="664">
        <f t="shared" si="4"/>
        <v>3260153.1826831857</v>
      </c>
      <c r="S52" s="665">
        <f t="shared" si="4"/>
        <v>3260153.1826831857</v>
      </c>
    </row>
    <row r="53" spans="1:40" s="12" customFormat="1" ht="16.3">
      <c r="A53" s="624"/>
      <c r="B53" s="625"/>
      <c r="C53" s="187"/>
      <c r="D53" s="188"/>
      <c r="E53" s="626"/>
      <c r="F53" s="627"/>
      <c r="G53" s="628"/>
      <c r="I53" s="629" t="s">
        <v>52</v>
      </c>
      <c r="J53" s="663">
        <f>C87</f>
        <v>0.55251141956665195</v>
      </c>
      <c r="K53" s="630" t="s">
        <v>28</v>
      </c>
      <c r="L53" s="666">
        <v>0</v>
      </c>
      <c r="M53" s="666">
        <f>M51*J53</f>
        <v>5525114.1956665199</v>
      </c>
      <c r="N53" s="666">
        <f>N51*J53</f>
        <v>8287671.293499779</v>
      </c>
      <c r="O53" s="666">
        <f>O51*J53</f>
        <v>11050228.39133304</v>
      </c>
      <c r="P53" s="666">
        <f>P51*J53</f>
        <v>13812785.489166299</v>
      </c>
      <c r="Q53" s="666">
        <f>Q51*J53</f>
        <v>16575342.586999558</v>
      </c>
      <c r="R53" s="666">
        <f>R51*J53</f>
        <v>19337899.684832819</v>
      </c>
      <c r="S53" s="667">
        <f>S51*J53</f>
        <v>22100456.78266608</v>
      </c>
    </row>
    <row r="54" spans="1:40" s="12" customFormat="1" ht="16.3">
      <c r="A54" s="672" t="s">
        <v>69</v>
      </c>
      <c r="B54" s="625"/>
      <c r="C54" s="653">
        <f>'Struttura Costi AZ. A'!B5</f>
        <v>7225055.5874239998</v>
      </c>
      <c r="D54" s="188">
        <f>'Struttura Costi AZ. A'!D63</f>
        <v>0.2</v>
      </c>
      <c r="E54" s="655">
        <f>D54*C54</f>
        <v>1445011.1174848001</v>
      </c>
      <c r="F54" s="627">
        <f>'Struttura Costi AZ. A'!F63</f>
        <v>0.8</v>
      </c>
      <c r="G54" s="656">
        <f>F54*C54</f>
        <v>5780044.4699392002</v>
      </c>
      <c r="I54" s="629" t="s">
        <v>53</v>
      </c>
      <c r="J54" s="632">
        <f>C89</f>
        <v>11282717</v>
      </c>
      <c r="K54" s="633" t="s">
        <v>56</v>
      </c>
      <c r="L54" s="668">
        <f t="shared" ref="L54:S54" si="5">L52+L53</f>
        <v>3260153.1826831857</v>
      </c>
      <c r="M54" s="668">
        <f t="shared" si="5"/>
        <v>8785267.3783497065</v>
      </c>
      <c r="N54" s="668">
        <f t="shared" si="5"/>
        <v>11547824.476182964</v>
      </c>
      <c r="O54" s="668">
        <f t="shared" si="5"/>
        <v>14310381.574016225</v>
      </c>
      <c r="P54" s="668">
        <f t="shared" si="5"/>
        <v>17072938.671849485</v>
      </c>
      <c r="Q54" s="668">
        <f t="shared" si="5"/>
        <v>19835495.769682743</v>
      </c>
      <c r="R54" s="668">
        <f t="shared" si="5"/>
        <v>22598052.867516004</v>
      </c>
      <c r="S54" s="669">
        <f t="shared" si="5"/>
        <v>25360609.965349264</v>
      </c>
    </row>
    <row r="55" spans="1:40" s="12" customFormat="1" ht="16.3">
      <c r="A55" s="634"/>
      <c r="B55" s="625"/>
      <c r="C55" s="653"/>
      <c r="D55" s="188"/>
      <c r="E55" s="655"/>
      <c r="F55" s="627"/>
      <c r="G55" s="656"/>
      <c r="I55" s="635" t="s">
        <v>54</v>
      </c>
      <c r="J55" s="663">
        <f>C88/C89</f>
        <v>0.7606344819248767</v>
      </c>
      <c r="K55" s="636" t="s">
        <v>57</v>
      </c>
      <c r="L55" s="670">
        <v>0</v>
      </c>
      <c r="M55" s="670">
        <f>J55*M51</f>
        <v>7606344.8192487666</v>
      </c>
      <c r="N55" s="670">
        <f>J55*N51</f>
        <v>11409517.22887315</v>
      </c>
      <c r="O55" s="670">
        <f>J55*O51</f>
        <v>15212689.638497533</v>
      </c>
      <c r="P55" s="670">
        <f>J55*P51</f>
        <v>19015862.048121918</v>
      </c>
      <c r="Q55" s="670">
        <f>J55*Q51</f>
        <v>22819034.457746301</v>
      </c>
      <c r="R55" s="670">
        <f>J55*R51</f>
        <v>26622206.867370684</v>
      </c>
      <c r="S55" s="671">
        <f>J55*S51</f>
        <v>30425379.276995067</v>
      </c>
    </row>
    <row r="56" spans="1:40" s="12" customFormat="1" ht="16.899999999999999" thickBot="1">
      <c r="A56" s="637"/>
      <c r="B56" s="625"/>
      <c r="C56" s="653"/>
      <c r="D56" s="188"/>
      <c r="E56" s="655"/>
      <c r="F56" s="627"/>
      <c r="G56" s="656"/>
      <c r="I56" s="189"/>
      <c r="J56" s="190"/>
      <c r="K56" s="190"/>
      <c r="L56" s="190"/>
      <c r="M56" s="190"/>
      <c r="N56" s="190"/>
      <c r="O56" s="190"/>
      <c r="P56" s="190"/>
      <c r="Q56" s="190"/>
      <c r="R56" s="190"/>
      <c r="S56" s="191"/>
    </row>
    <row r="57" spans="1:40" s="12" customFormat="1" ht="16.3">
      <c r="A57" s="641" t="s">
        <v>49</v>
      </c>
      <c r="B57" s="192"/>
      <c r="C57" s="654">
        <f>SUM(C53:C56)</f>
        <v>7225055.5874239998</v>
      </c>
      <c r="D57" s="193">
        <f>E57/C57</f>
        <v>0.2</v>
      </c>
      <c r="E57" s="654">
        <f>SUM(E53:E56)</f>
        <v>1445011.1174848001</v>
      </c>
      <c r="F57" s="194">
        <f>G57/C57</f>
        <v>0.8</v>
      </c>
      <c r="G57" s="657">
        <f>SUM(G53:G56)</f>
        <v>5780044.4699392002</v>
      </c>
    </row>
    <row r="58" spans="1:40" s="12" customFormat="1" ht="16.3">
      <c r="A58" s="58"/>
      <c r="B58" s="565"/>
      <c r="C58" s="196"/>
      <c r="D58" s="197"/>
      <c r="E58" s="103"/>
      <c r="F58" s="642"/>
      <c r="G58" s="565"/>
    </row>
    <row r="59" spans="1:40" s="12" customFormat="1" ht="16.3">
      <c r="A59" s="643" t="s">
        <v>9</v>
      </c>
      <c r="B59" s="156"/>
      <c r="C59" s="198"/>
      <c r="D59" s="199"/>
      <c r="E59" s="180"/>
      <c r="F59" s="644"/>
      <c r="G59" s="645"/>
    </row>
    <row r="60" spans="1:40" s="12" customFormat="1" ht="16.3">
      <c r="A60" s="646" t="str">
        <f>A11</f>
        <v>PERSONALE</v>
      </c>
      <c r="B60" s="645"/>
      <c r="C60" s="653">
        <f>'Struttura Costi AZ. A'!B9*'Struttura Costi AZ. A'!F$52</f>
        <v>787345.94125796633</v>
      </c>
      <c r="D60" s="188">
        <f>'Struttura Costi AZ. A'!D67</f>
        <v>0.8</v>
      </c>
      <c r="E60" s="655">
        <f t="shared" ref="E60:E79" si="6">D60*C60</f>
        <v>629876.75300637307</v>
      </c>
      <c r="F60" s="627">
        <f>'Struttura Costi AZ. A'!F67</f>
        <v>0.2</v>
      </c>
      <c r="G60" s="656">
        <f t="shared" ref="G60:G79" si="7">F60*C60</f>
        <v>157469.18825159327</v>
      </c>
    </row>
    <row r="61" spans="1:40" s="12" customFormat="1" ht="16.3">
      <c r="A61" s="646" t="str">
        <f t="shared" ref="A61:A82" si="8">A12</f>
        <v>TELEFONO</v>
      </c>
      <c r="B61" s="645"/>
      <c r="C61" s="653">
        <f>'Struttura Costi AZ. A'!B10*'Struttura Costi AZ. A'!F$52</f>
        <v>28798.066242634781</v>
      </c>
      <c r="D61" s="188">
        <f>'Struttura Costi AZ. A'!D68</f>
        <v>0.8</v>
      </c>
      <c r="E61" s="655">
        <f t="shared" si="6"/>
        <v>23038.452994107825</v>
      </c>
      <c r="F61" s="627">
        <f>'Struttura Costi AZ. A'!F68</f>
        <v>0.2</v>
      </c>
      <c r="G61" s="656">
        <f t="shared" si="7"/>
        <v>5759.6132485269563</v>
      </c>
    </row>
    <row r="62" spans="1:40" s="12" customFormat="1" ht="16.3">
      <c r="A62" s="646" t="str">
        <f t="shared" si="8"/>
        <v>ACQUA</v>
      </c>
      <c r="B62" s="645"/>
      <c r="C62" s="653">
        <f>'Struttura Costi AZ. A'!B11*'Struttura Costi AZ. A'!F$52</f>
        <v>55132.448153609628</v>
      </c>
      <c r="D62" s="188">
        <f>'Struttura Costi AZ. A'!D69</f>
        <v>0.8</v>
      </c>
      <c r="E62" s="655">
        <f t="shared" si="6"/>
        <v>44105.958522887704</v>
      </c>
      <c r="F62" s="627">
        <f>'Struttura Costi AZ. A'!F69</f>
        <v>0.2</v>
      </c>
      <c r="G62" s="656">
        <f t="shared" si="7"/>
        <v>11026.489630721926</v>
      </c>
    </row>
    <row r="63" spans="1:40" s="12" customFormat="1" ht="16.3">
      <c r="A63" s="646" t="str">
        <f t="shared" si="8"/>
        <v>GAS</v>
      </c>
      <c r="B63" s="645"/>
      <c r="C63" s="653">
        <f>'Struttura Costi AZ. A'!B12*'Struttura Costi AZ. A'!F$52</f>
        <v>58075.849881556198</v>
      </c>
      <c r="D63" s="188">
        <f>'Struttura Costi AZ. A'!D70</f>
        <v>0.8</v>
      </c>
      <c r="E63" s="655">
        <f t="shared" si="6"/>
        <v>46460.679905244964</v>
      </c>
      <c r="F63" s="627">
        <f>'Struttura Costi AZ. A'!F70</f>
        <v>0.2</v>
      </c>
      <c r="G63" s="656">
        <f t="shared" si="7"/>
        <v>11615.169976311241</v>
      </c>
    </row>
    <row r="64" spans="1:40" s="12" customFormat="1" ht="16.3">
      <c r="A64" s="646" t="str">
        <f t="shared" si="8"/>
        <v>ENERGIA</v>
      </c>
      <c r="B64" s="645"/>
      <c r="C64" s="653">
        <f>'Struttura Costi AZ. A'!B13*'Struttura Costi AZ. A'!F$52</f>
        <v>32698.899767763021</v>
      </c>
      <c r="D64" s="188">
        <f>'Struttura Costi AZ. A'!D71</f>
        <v>0.8</v>
      </c>
      <c r="E64" s="655">
        <f t="shared" si="6"/>
        <v>26159.119814210419</v>
      </c>
      <c r="F64" s="627">
        <f>'Struttura Costi AZ. A'!F71</f>
        <v>0.2</v>
      </c>
      <c r="G64" s="656">
        <f t="shared" si="7"/>
        <v>6539.7799535526046</v>
      </c>
    </row>
    <row r="65" spans="1:7" s="12" customFormat="1" ht="16.3">
      <c r="A65" s="646" t="str">
        <f t="shared" si="8"/>
        <v>ALTRE UTENZE</v>
      </c>
      <c r="B65" s="645"/>
      <c r="C65" s="653">
        <f>'Struttura Costi AZ. A'!B14*'Struttura Costi AZ. A'!F$52</f>
        <v>32698.899767763021</v>
      </c>
      <c r="D65" s="188">
        <f>'Struttura Costi AZ. A'!D72</f>
        <v>0.8</v>
      </c>
      <c r="E65" s="655">
        <f t="shared" si="6"/>
        <v>26159.119814210419</v>
      </c>
      <c r="F65" s="627">
        <f>'Struttura Costi AZ. A'!F72</f>
        <v>0.2</v>
      </c>
      <c r="G65" s="656">
        <f t="shared" si="7"/>
        <v>6539.7799535526046</v>
      </c>
    </row>
    <row r="66" spans="1:7" s="12" customFormat="1" ht="16.3">
      <c r="A66" s="646" t="str">
        <f t="shared" si="8"/>
        <v>CONSULENZE FISCALI E LEGALI</v>
      </c>
      <c r="B66" s="645"/>
      <c r="C66" s="653">
        <f>'Struttura Costi AZ. A'!B15*'Struttura Costi AZ. A'!F$52</f>
        <v>37806.538016326311</v>
      </c>
      <c r="D66" s="188">
        <f>'Struttura Costi AZ. A'!D73</f>
        <v>0.8</v>
      </c>
      <c r="E66" s="655">
        <f t="shared" si="6"/>
        <v>30245.23041306105</v>
      </c>
      <c r="F66" s="627">
        <f>'Struttura Costi AZ. A'!F73</f>
        <v>0.2</v>
      </c>
      <c r="G66" s="656">
        <f t="shared" si="7"/>
        <v>7561.3076032652625</v>
      </c>
    </row>
    <row r="67" spans="1:7" s="12" customFormat="1" ht="16.3">
      <c r="A67" s="646" t="str">
        <f t="shared" si="8"/>
        <v>CONSULENZE TECNICHE</v>
      </c>
      <c r="B67" s="645"/>
      <c r="C67" s="653">
        <f>'Struttura Costi AZ. A'!B16*'Struttura Costi AZ. A'!F$52</f>
        <v>66549.521885692273</v>
      </c>
      <c r="D67" s="188">
        <f>'Struttura Costi AZ. A'!D74</f>
        <v>0.8</v>
      </c>
      <c r="E67" s="655">
        <f t="shared" si="6"/>
        <v>53239.61750855382</v>
      </c>
      <c r="F67" s="627">
        <f>'Struttura Costi AZ. A'!F74</f>
        <v>0.2</v>
      </c>
      <c r="G67" s="656">
        <f t="shared" si="7"/>
        <v>13309.904377138455</v>
      </c>
    </row>
    <row r="68" spans="1:7" s="12" customFormat="1" ht="16.3">
      <c r="A68" s="646" t="str">
        <f t="shared" si="8"/>
        <v>COMPENSI AMMINISTRATORI</v>
      </c>
      <c r="B68" s="645"/>
      <c r="C68" s="653">
        <f>'Struttura Costi AZ. A'!B17*'Struttura Costi AZ. A'!F$52</f>
        <v>171256.1059812397</v>
      </c>
      <c r="D68" s="188">
        <f>'Struttura Costi AZ. A'!D75</f>
        <v>0.8</v>
      </c>
      <c r="E68" s="655">
        <f t="shared" si="6"/>
        <v>137004.88478499177</v>
      </c>
      <c r="F68" s="627">
        <f>'Struttura Costi AZ. A'!F75</f>
        <v>0.2</v>
      </c>
      <c r="G68" s="656">
        <f t="shared" si="7"/>
        <v>34251.221196247941</v>
      </c>
    </row>
    <row r="69" spans="1:7" s="12" customFormat="1" ht="16.3">
      <c r="A69" s="646" t="str">
        <f t="shared" si="8"/>
        <v>PROMOZIONE/PUBBL.</v>
      </c>
      <c r="B69" s="645"/>
      <c r="C69" s="653">
        <f>'Struttura Costi AZ. A'!B18*'Struttura Costi AZ. A'!F$52</f>
        <v>85127.304142721492</v>
      </c>
      <c r="D69" s="188">
        <f>'Struttura Costi AZ. A'!D76</f>
        <v>0.8</v>
      </c>
      <c r="E69" s="655">
        <f t="shared" si="6"/>
        <v>68101.843314177197</v>
      </c>
      <c r="F69" s="627">
        <f>'Struttura Costi AZ. A'!F76</f>
        <v>0.2</v>
      </c>
      <c r="G69" s="656">
        <f t="shared" si="7"/>
        <v>17025.460828544299</v>
      </c>
    </row>
    <row r="70" spans="1:7" s="12" customFormat="1" ht="16.3">
      <c r="A70" s="646" t="str">
        <f t="shared" si="8"/>
        <v>VIAGGI</v>
      </c>
      <c r="B70" s="645"/>
      <c r="C70" s="653">
        <f>'Struttura Costi AZ. A'!B19*'Struttura Costi AZ. A'!F$52</f>
        <v>36780.00287813467</v>
      </c>
      <c r="D70" s="188">
        <f>'Struttura Costi AZ. A'!D77</f>
        <v>0.8</v>
      </c>
      <c r="E70" s="655">
        <f t="shared" si="6"/>
        <v>29424.002302507739</v>
      </c>
      <c r="F70" s="627">
        <f>'Struttura Costi AZ. A'!F77</f>
        <v>0.2</v>
      </c>
      <c r="G70" s="656">
        <f t="shared" si="7"/>
        <v>7356.0005756269347</v>
      </c>
    </row>
    <row r="71" spans="1:7" s="12" customFormat="1" ht="16.3">
      <c r="A71" s="646" t="str">
        <f t="shared" si="8"/>
        <v>FIERE</v>
      </c>
      <c r="B71" s="645"/>
      <c r="C71" s="653">
        <f>'Struttura Costi AZ. A'!B20*'Struttura Costi AZ. A'!F$52</f>
        <v>65688.233867307092</v>
      </c>
      <c r="D71" s="188">
        <f>'Struttura Costi AZ. A'!D78</f>
        <v>0.8</v>
      </c>
      <c r="E71" s="655">
        <f t="shared" si="6"/>
        <v>52550.587093845679</v>
      </c>
      <c r="F71" s="627">
        <f>'Struttura Costi AZ. A'!F78</f>
        <v>0.2</v>
      </c>
      <c r="G71" s="656">
        <f t="shared" si="7"/>
        <v>13137.64677346142</v>
      </c>
    </row>
    <row r="72" spans="1:7" s="12" customFormat="1" ht="16.3">
      <c r="A72" s="646" t="str">
        <f t="shared" si="8"/>
        <v>PROVVIGIONI E RIMBORSO SPESE</v>
      </c>
      <c r="B72" s="645"/>
      <c r="C72" s="653">
        <f>'Struttura Costi AZ. A'!B21*'Struttura Costi AZ. A'!F$52</f>
        <v>53750.381333410143</v>
      </c>
      <c r="D72" s="188">
        <f>'Struttura Costi AZ. A'!D79</f>
        <v>0.8</v>
      </c>
      <c r="E72" s="655">
        <f t="shared" si="6"/>
        <v>43000.30506672812</v>
      </c>
      <c r="F72" s="627">
        <f>'Struttura Costi AZ. A'!F79</f>
        <v>0.2</v>
      </c>
      <c r="G72" s="656">
        <f t="shared" si="7"/>
        <v>10750.07626668203</v>
      </c>
    </row>
    <row r="73" spans="1:7" s="12" customFormat="1" ht="16.3">
      <c r="A73" s="646" t="str">
        <f t="shared" si="8"/>
        <v>MANUTENZIONE</v>
      </c>
      <c r="B73" s="645"/>
      <c r="C73" s="653">
        <f>'Struttura Costi AZ. A'!B22*'Struttura Costi AZ. A'!F$52</f>
        <v>66599.596770482109</v>
      </c>
      <c r="D73" s="188">
        <f>'Struttura Costi AZ. A'!D80</f>
        <v>0.8</v>
      </c>
      <c r="E73" s="655">
        <f t="shared" si="6"/>
        <v>53279.67741638569</v>
      </c>
      <c r="F73" s="627">
        <f>'Struttura Costi AZ. A'!F80</f>
        <v>0.2</v>
      </c>
      <c r="G73" s="656">
        <f t="shared" si="7"/>
        <v>13319.919354096422</v>
      </c>
    </row>
    <row r="74" spans="1:7" s="12" customFormat="1" ht="16.3">
      <c r="A74" s="646" t="str">
        <f t="shared" si="8"/>
        <v>TRASPORTO</v>
      </c>
      <c r="B74" s="645"/>
      <c r="C74" s="653">
        <f>'Struttura Costi AZ. A'!B23*'Struttura Costi AZ. A'!F$52</f>
        <v>72608.582945262446</v>
      </c>
      <c r="D74" s="188">
        <f>'Struttura Costi AZ. A'!D81</f>
        <v>0.8</v>
      </c>
      <c r="E74" s="655">
        <f t="shared" si="6"/>
        <v>58086.866356209961</v>
      </c>
      <c r="F74" s="627">
        <f>'Struttura Costi AZ. A'!F81</f>
        <v>0.2</v>
      </c>
      <c r="G74" s="656">
        <f t="shared" si="7"/>
        <v>14521.71658905249</v>
      </c>
    </row>
    <row r="75" spans="1:7" s="12" customFormat="1" ht="16.3">
      <c r="A75" s="646" t="str">
        <f t="shared" si="8"/>
        <v>ASSICURAZIONI</v>
      </c>
      <c r="B75" s="645"/>
      <c r="C75" s="653">
        <f>'Struttura Costi AZ. A'!B24*'Struttura Costi AZ. A'!F$52</f>
        <v>68602.592162075554</v>
      </c>
      <c r="D75" s="188">
        <f>'Struttura Costi AZ. A'!D82</f>
        <v>0.8</v>
      </c>
      <c r="E75" s="655">
        <f t="shared" si="6"/>
        <v>54882.073729660449</v>
      </c>
      <c r="F75" s="627">
        <f>'Struttura Costi AZ. A'!F82</f>
        <v>0.2</v>
      </c>
      <c r="G75" s="656">
        <f t="shared" si="7"/>
        <v>13720.518432415112</v>
      </c>
    </row>
    <row r="76" spans="1:7" s="12" customFormat="1" ht="16.3">
      <c r="A76" s="646" t="str">
        <f t="shared" si="8"/>
        <v>MATERIALE DI CONSUMO</v>
      </c>
      <c r="B76" s="645"/>
      <c r="C76" s="653">
        <f>'Struttura Costi AZ. A'!B25*'Struttura Costi AZ. A'!F$52</f>
        <v>61241.584097969637</v>
      </c>
      <c r="D76" s="188">
        <f>'Struttura Costi AZ. A'!D83</f>
        <v>0.8</v>
      </c>
      <c r="E76" s="655">
        <f t="shared" si="6"/>
        <v>48993.267278375715</v>
      </c>
      <c r="F76" s="627">
        <f>'Struttura Costi AZ. A'!F83</f>
        <v>0.2</v>
      </c>
      <c r="G76" s="656">
        <f t="shared" si="7"/>
        <v>12248.316819593929</v>
      </c>
    </row>
    <row r="77" spans="1:7" s="12" customFormat="1" ht="16.3">
      <c r="A77" s="646" t="str">
        <f t="shared" si="8"/>
        <v>AMMORTAMENTO</v>
      </c>
      <c r="B77" s="645"/>
      <c r="C77" s="653">
        <f>'Struttura Costi AZ. A'!B26*'Struttura Costi AZ. A'!F$52</f>
        <v>267951.20925926126</v>
      </c>
      <c r="D77" s="188">
        <f>'Struttura Costi AZ. A'!D84</f>
        <v>0.8</v>
      </c>
      <c r="E77" s="655">
        <f t="shared" si="6"/>
        <v>214360.96740740901</v>
      </c>
      <c r="F77" s="627">
        <f>'Struttura Costi AZ. A'!F84</f>
        <v>0.2</v>
      </c>
      <c r="G77" s="656">
        <f t="shared" si="7"/>
        <v>53590.241851852254</v>
      </c>
    </row>
    <row r="78" spans="1:7" s="12" customFormat="1" ht="16.3">
      <c r="A78" s="646" t="str">
        <f t="shared" si="8"/>
        <v>LOCAZIONE IMMOBILE</v>
      </c>
      <c r="B78" s="645"/>
      <c r="C78" s="653">
        <f>'Struttura Costi AZ. A'!B27*'Struttura Costi AZ. A'!F$52</f>
        <v>10406.061808175855</v>
      </c>
      <c r="D78" s="188">
        <f>'Struttura Costi AZ. A'!D85</f>
        <v>0.8</v>
      </c>
      <c r="E78" s="655">
        <f t="shared" si="6"/>
        <v>8324.8494465406839</v>
      </c>
      <c r="F78" s="627">
        <f>'Struttura Costi AZ. A'!F85</f>
        <v>0.2</v>
      </c>
      <c r="G78" s="656">
        <f t="shared" si="7"/>
        <v>2081.212361635171</v>
      </c>
    </row>
    <row r="79" spans="1:7" s="12" customFormat="1" ht="16.3">
      <c r="A79" s="646" t="str">
        <f t="shared" si="8"/>
        <v>SPESE GENERALI</v>
      </c>
      <c r="B79" s="645"/>
      <c r="C79" s="653">
        <f>'Struttura Costi AZ. A'!B28*'Struttura Costi AZ. A'!F$52</f>
        <v>209809.76127863038</v>
      </c>
      <c r="D79" s="188">
        <f>'Struttura Costi AZ. A'!D86</f>
        <v>0.8</v>
      </c>
      <c r="E79" s="655">
        <f t="shared" si="6"/>
        <v>167847.80902290432</v>
      </c>
      <c r="F79" s="627">
        <f>'Struttura Costi AZ. A'!F86</f>
        <v>0.2</v>
      </c>
      <c r="G79" s="656">
        <f t="shared" si="7"/>
        <v>41961.952255726079</v>
      </c>
    </row>
    <row r="80" spans="1:7" s="12" customFormat="1" ht="16.3">
      <c r="A80" s="673" t="str">
        <f t="shared" si="8"/>
        <v>TOTALE COSTI INDIRETTI</v>
      </c>
      <c r="B80" s="192"/>
      <c r="C80" s="654">
        <f>SUM(C60:C79)</f>
        <v>2268927.5814979817</v>
      </c>
      <c r="D80" s="193"/>
      <c r="E80" s="654">
        <f>SUM(E60:E79)</f>
        <v>1815142.0651983854</v>
      </c>
      <c r="F80" s="193"/>
      <c r="G80" s="654">
        <f>SUM(G60:G79)</f>
        <v>453785.51629959635</v>
      </c>
    </row>
    <row r="81" spans="1:7" s="12" customFormat="1" ht="16.3">
      <c r="A81" s="28"/>
      <c r="B81" s="192"/>
      <c r="C81" s="58"/>
      <c r="D81" s="201"/>
      <c r="E81" s="202"/>
      <c r="F81" s="203"/>
      <c r="G81" s="645"/>
    </row>
    <row r="82" spans="1:7" s="12" customFormat="1" ht="16.3">
      <c r="A82" s="673" t="str">
        <f t="shared" si="8"/>
        <v>TOTALE COSTI</v>
      </c>
      <c r="B82" s="192"/>
      <c r="C82" s="654">
        <f>C57+C80</f>
        <v>9493983.168921981</v>
      </c>
      <c r="D82" s="193">
        <f>E82/C82</f>
        <v>0.34339150646012451</v>
      </c>
      <c r="E82" s="654">
        <f>E57+E80</f>
        <v>3260153.1826831857</v>
      </c>
      <c r="F82" s="194">
        <f>G82/C82</f>
        <v>0.6566084935398756</v>
      </c>
      <c r="G82" s="654">
        <f>G57+G80</f>
        <v>6233829.9862387963</v>
      </c>
    </row>
    <row r="83" spans="1:7" s="12" customFormat="1" ht="16.3">
      <c r="A83" s="647"/>
      <c r="B83" s="204"/>
      <c r="C83" s="205"/>
      <c r="D83" s="206"/>
      <c r="E83" s="207"/>
      <c r="F83" s="208"/>
      <c r="G83" s="207"/>
    </row>
    <row r="84" spans="1:7" s="12" customFormat="1" ht="15.05">
      <c r="A84" s="776" t="s">
        <v>30</v>
      </c>
      <c r="B84" s="776"/>
      <c r="C84" s="658">
        <f>C82</f>
        <v>9493983.168921981</v>
      </c>
      <c r="D84" s="648"/>
      <c r="E84" s="58"/>
      <c r="F84" s="371"/>
      <c r="G84" s="58"/>
    </row>
    <row r="85" spans="1:7" s="12" customFormat="1" ht="15.05">
      <c r="A85" s="776" t="s">
        <v>31</v>
      </c>
      <c r="B85" s="776"/>
      <c r="C85" s="658">
        <f>E82</f>
        <v>3260153.1826831857</v>
      </c>
      <c r="D85" s="648"/>
      <c r="E85" s="58"/>
      <c r="F85" s="371"/>
      <c r="G85" s="58"/>
    </row>
    <row r="86" spans="1:7" s="12" customFormat="1" ht="15.05">
      <c r="A86" s="776" t="s">
        <v>32</v>
      </c>
      <c r="B86" s="776"/>
      <c r="C86" s="658">
        <f>G82</f>
        <v>6233829.9862387963</v>
      </c>
      <c r="D86" s="648"/>
      <c r="E86" s="58"/>
      <c r="F86" s="371"/>
      <c r="G86" s="58"/>
    </row>
    <row r="87" spans="1:7" s="12" customFormat="1" ht="15.05">
      <c r="A87" s="776" t="s">
        <v>33</v>
      </c>
      <c r="B87" s="776"/>
      <c r="C87" s="658">
        <f>G82/C89</f>
        <v>0.55251141956665195</v>
      </c>
      <c r="D87" s="648"/>
      <c r="E87" s="58"/>
      <c r="F87" s="371"/>
      <c r="G87" s="58"/>
    </row>
    <row r="88" spans="1:7" s="12" customFormat="1" ht="15.05">
      <c r="A88" s="776" t="s">
        <v>34</v>
      </c>
      <c r="B88" s="776"/>
      <c r="C88" s="658">
        <f>'Scheda Ricavi'!B10</f>
        <v>8582023.5999999996</v>
      </c>
      <c r="D88" s="648"/>
      <c r="E88" s="58"/>
      <c r="F88" s="371"/>
      <c r="G88" s="58"/>
    </row>
    <row r="89" spans="1:7" s="12" customFormat="1" ht="15.05">
      <c r="A89" s="776" t="s">
        <v>35</v>
      </c>
      <c r="B89" s="776"/>
      <c r="C89" s="659">
        <f>'Struttura Ricavi'!B19+'Struttura Ricavi'!B24</f>
        <v>11282717</v>
      </c>
      <c r="D89" s="397"/>
      <c r="E89" s="58"/>
      <c r="F89" s="371"/>
      <c r="G89" s="58"/>
    </row>
    <row r="90" spans="1:7" s="12" customFormat="1" ht="15.05">
      <c r="A90" s="776" t="s">
        <v>159</v>
      </c>
      <c r="B90" s="776"/>
      <c r="C90" s="659">
        <f>'Struttura Ricavi'!B19+'Struttura Ricavi'!B24+'Struttura Ricavi'!B28+'Struttura Ricavi'!B29</f>
        <v>21714717</v>
      </c>
      <c r="D90" s="397"/>
      <c r="E90" s="58"/>
      <c r="F90" s="371"/>
      <c r="G90" s="58"/>
    </row>
    <row r="91" spans="1:7" s="12" customFormat="1" ht="15.05">
      <c r="A91" s="776" t="s">
        <v>223</v>
      </c>
      <c r="B91" s="776"/>
      <c r="C91" s="658">
        <f>C88/C89</f>
        <v>0.7606344819248767</v>
      </c>
      <c r="D91" s="397"/>
      <c r="E91" s="58"/>
      <c r="F91" s="371"/>
      <c r="G91" s="58"/>
    </row>
    <row r="92" spans="1:7" s="12" customFormat="1" ht="15.05">
      <c r="A92" s="777" t="s">
        <v>36</v>
      </c>
      <c r="B92" s="777"/>
      <c r="C92" s="658">
        <f>C85/(1-(C86/C88))</f>
        <v>11914993.461117329</v>
      </c>
      <c r="D92" s="649"/>
      <c r="E92" s="58"/>
      <c r="F92" s="371"/>
      <c r="G92" s="58"/>
    </row>
    <row r="93" spans="1:7" s="12" customFormat="1" ht="15.05">
      <c r="A93" s="777" t="s">
        <v>224</v>
      </c>
      <c r="B93" s="777"/>
      <c r="C93" s="660">
        <f>C85/(C91-C87)</f>
        <v>15664545.513325946</v>
      </c>
      <c r="D93" s="650"/>
      <c r="E93" s="58"/>
      <c r="F93" s="371"/>
      <c r="G93" s="58"/>
    </row>
    <row r="94" spans="1:7" s="12" customFormat="1" ht="15.05">
      <c r="A94" s="777" t="s">
        <v>240</v>
      </c>
      <c r="B94" s="777"/>
      <c r="C94" s="658">
        <f>C88-C86</f>
        <v>2348193.6137612034</v>
      </c>
      <c r="D94" s="650"/>
      <c r="E94" s="58"/>
      <c r="F94" s="371"/>
      <c r="G94" s="58"/>
    </row>
    <row r="95" spans="1:7" s="12" customFormat="1" ht="15.05">
      <c r="A95" s="777" t="s">
        <v>7</v>
      </c>
      <c r="B95" s="777"/>
      <c r="C95" s="661">
        <f>1/(1-(C85/C94))</f>
        <v>-2.5748878500578458</v>
      </c>
      <c r="D95" s="650"/>
      <c r="E95" s="58"/>
      <c r="F95" s="371"/>
      <c r="G95" s="58"/>
    </row>
    <row r="96" spans="1:7" s="12" customFormat="1" ht="15.05">
      <c r="A96" s="780" t="s">
        <v>254</v>
      </c>
      <c r="B96" s="777"/>
      <c r="C96" s="662">
        <f>IF(C93&lt;0,(C89+C93)/C89,(C89-C93)/C89)</f>
        <v>-0.38836642923206766</v>
      </c>
      <c r="D96" s="58"/>
      <c r="E96" s="58"/>
      <c r="F96" s="371"/>
      <c r="G96" s="58"/>
    </row>
  </sheetData>
  <mergeCells count="30">
    <mergeCell ref="I51:J51"/>
    <mergeCell ref="A84:B84"/>
    <mergeCell ref="A85:B85"/>
    <mergeCell ref="A45:B45"/>
    <mergeCell ref="A46:B46"/>
    <mergeCell ref="A1:G1"/>
    <mergeCell ref="A35:B35"/>
    <mergeCell ref="A36:B36"/>
    <mergeCell ref="A37:B37"/>
    <mergeCell ref="A86:B86"/>
    <mergeCell ref="A44:B44"/>
    <mergeCell ref="A96:B96"/>
    <mergeCell ref="A47:B47"/>
    <mergeCell ref="A88:B88"/>
    <mergeCell ref="A89:B89"/>
    <mergeCell ref="A50:G50"/>
    <mergeCell ref="A95:B95"/>
    <mergeCell ref="A94:B94"/>
    <mergeCell ref="A91:B91"/>
    <mergeCell ref="A90:B90"/>
    <mergeCell ref="A92:B92"/>
    <mergeCell ref="A93:B93"/>
    <mergeCell ref="A87:B87"/>
    <mergeCell ref="I2:J2"/>
    <mergeCell ref="A38:B38"/>
    <mergeCell ref="A39:B39"/>
    <mergeCell ref="A40:B40"/>
    <mergeCell ref="A43:B43"/>
    <mergeCell ref="A41:B41"/>
    <mergeCell ref="A42:B42"/>
  </mergeCells>
  <phoneticPr fontId="0" type="noConversion"/>
  <pageMargins left="0.3" right="0.46" top="0.42" bottom="0.37" header="0.28999999999999998" footer="0.25"/>
  <pageSetup paperSize="9" scale="61" orientation="landscape"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0"/>
  <dimension ref="A1:AN49"/>
  <sheetViews>
    <sheetView zoomScaleNormal="100" zoomScaleSheetLayoutView="75" workbookViewId="0">
      <selection sqref="A1:G1"/>
    </sheetView>
  </sheetViews>
  <sheetFormatPr defaultColWidth="9.109375" defaultRowHeight="12.55"/>
  <cols>
    <col min="1" max="1" width="39.88671875" style="12" customWidth="1"/>
    <col min="2" max="2" width="3.44140625" style="12" customWidth="1"/>
    <col min="3" max="3" width="19.109375" style="12" customWidth="1"/>
    <col min="4" max="4" width="10.6640625" style="38" customWidth="1"/>
    <col min="5" max="5" width="19.109375" style="12" customWidth="1"/>
    <col min="6" max="6" width="10.5546875" style="38" customWidth="1"/>
    <col min="7" max="7" width="21.109375" style="12" customWidth="1"/>
    <col min="8" max="8" width="5.5546875" style="12" customWidth="1"/>
    <col min="9" max="9" width="11.6640625" style="12" bestFit="1" customWidth="1"/>
    <col min="10" max="10" width="10" style="12" customWidth="1"/>
    <col min="11" max="11" width="14.33203125" style="12" bestFit="1" customWidth="1"/>
    <col min="12" max="12" width="11.6640625" style="12" bestFit="1" customWidth="1"/>
    <col min="13" max="19" width="12.5546875" style="12" bestFit="1" customWidth="1"/>
    <col min="20" max="20" width="10.5546875" style="12" customWidth="1"/>
    <col min="21" max="21" width="10.109375" style="12" customWidth="1"/>
    <col min="22" max="22" width="7.88671875" style="12" customWidth="1"/>
    <col min="23" max="23" width="10.88671875" style="12" customWidth="1"/>
    <col min="24" max="24" width="6.44140625" style="12" customWidth="1"/>
    <col min="25" max="25" width="34.33203125" style="12" bestFit="1" customWidth="1"/>
    <col min="26" max="26" width="6.6640625" style="12" customWidth="1"/>
    <col min="27" max="27" width="10.44140625" style="12" customWidth="1"/>
    <col min="28" max="28" width="10.109375" style="12" customWidth="1"/>
    <col min="29" max="29" width="11.109375" style="12" customWidth="1"/>
    <col min="30" max="30" width="8" style="12" customWidth="1"/>
    <col min="31" max="31" width="10.33203125" style="12" customWidth="1"/>
    <col min="32" max="32" width="5.33203125" style="12" customWidth="1"/>
    <col min="33" max="33" width="34.33203125" style="12" bestFit="1" customWidth="1"/>
    <col min="34" max="34" width="6.44140625" style="12" customWidth="1"/>
    <col min="35" max="35" width="11.6640625" style="12" customWidth="1"/>
    <col min="36" max="36" width="11" style="12" customWidth="1"/>
    <col min="37" max="37" width="11.5546875" style="12" customWidth="1"/>
    <col min="38" max="38" width="8.5546875" style="12" customWidth="1"/>
    <col min="39" max="39" width="12.44140625" style="12" customWidth="1"/>
    <col min="40" max="40" width="6.33203125" style="12" customWidth="1"/>
    <col min="41" max="41" width="34.33203125" style="12" bestFit="1" customWidth="1"/>
    <col min="42" max="42" width="5" style="12" customWidth="1"/>
    <col min="43" max="43" width="12.33203125" style="12" customWidth="1"/>
    <col min="44" max="44" width="7.44140625" style="12" customWidth="1"/>
    <col min="45" max="45" width="10.5546875" style="12" customWidth="1"/>
    <col min="46" max="46" width="8.5546875" style="12" customWidth="1"/>
    <col min="47" max="47" width="11.109375" style="12" customWidth="1"/>
    <col min="48" max="16384" width="9.109375" style="12"/>
  </cols>
  <sheetData>
    <row r="1" spans="1:40" s="58" customFormat="1" ht="13.8" thickBot="1">
      <c r="A1" s="774" t="s">
        <v>200</v>
      </c>
      <c r="B1" s="775"/>
      <c r="C1" s="775"/>
      <c r="D1" s="775"/>
      <c r="E1" s="775"/>
      <c r="F1" s="775"/>
      <c r="G1" s="775"/>
      <c r="H1" s="181"/>
      <c r="P1" s="181"/>
      <c r="X1" s="181"/>
      <c r="AF1" s="181"/>
      <c r="AN1" s="181"/>
    </row>
    <row r="2" spans="1:40" ht="14.4">
      <c r="A2" s="182" t="s">
        <v>1</v>
      </c>
      <c r="B2" s="183"/>
      <c r="C2" s="613">
        <v>44926</v>
      </c>
      <c r="D2" s="184" t="s">
        <v>3</v>
      </c>
      <c r="E2" s="184" t="s">
        <v>27</v>
      </c>
      <c r="F2" s="184" t="s">
        <v>3</v>
      </c>
      <c r="G2" s="184" t="s">
        <v>28</v>
      </c>
      <c r="I2" s="778">
        <f>C2</f>
        <v>44926</v>
      </c>
      <c r="J2" s="779"/>
      <c r="K2" s="614" t="s">
        <v>55</v>
      </c>
      <c r="L2" s="615">
        <v>0</v>
      </c>
      <c r="M2" s="615">
        <v>20000000</v>
      </c>
      <c r="N2" s="616">
        <v>30000000</v>
      </c>
      <c r="O2" s="616">
        <v>40000000</v>
      </c>
      <c r="P2" s="615">
        <v>50000000</v>
      </c>
      <c r="Q2" s="616">
        <v>60000000</v>
      </c>
      <c r="R2" s="615">
        <v>70000000</v>
      </c>
      <c r="S2" s="616">
        <v>80000000</v>
      </c>
    </row>
    <row r="3" spans="1:40" ht="15.05">
      <c r="A3" s="617" t="s">
        <v>29</v>
      </c>
      <c r="B3" s="185"/>
      <c r="C3" s="156"/>
      <c r="D3" s="618"/>
      <c r="E3" s="619"/>
      <c r="F3" s="620"/>
      <c r="G3" s="619"/>
      <c r="I3" s="621"/>
      <c r="J3" s="622"/>
      <c r="K3" s="623" t="s">
        <v>27</v>
      </c>
      <c r="L3" s="664">
        <f>M3</f>
        <v>2783011.6465928</v>
      </c>
      <c r="M3" s="664">
        <f>E33</f>
        <v>2783011.6465928</v>
      </c>
      <c r="N3" s="664">
        <f t="shared" ref="N3:S3" si="0">M3</f>
        <v>2783011.6465928</v>
      </c>
      <c r="O3" s="664">
        <f t="shared" si="0"/>
        <v>2783011.6465928</v>
      </c>
      <c r="P3" s="664">
        <f t="shared" si="0"/>
        <v>2783011.6465928</v>
      </c>
      <c r="Q3" s="664">
        <f t="shared" si="0"/>
        <v>2783011.6465928</v>
      </c>
      <c r="R3" s="664">
        <f t="shared" si="0"/>
        <v>2783011.6465928</v>
      </c>
      <c r="S3" s="665">
        <f t="shared" si="0"/>
        <v>2783011.6465928</v>
      </c>
    </row>
    <row r="4" spans="1:40" ht="16.3">
      <c r="A4" s="624"/>
      <c r="B4" s="186"/>
      <c r="C4" s="187"/>
      <c r="D4" s="188"/>
      <c r="E4" s="626"/>
      <c r="F4" s="627"/>
      <c r="G4" s="628"/>
      <c r="I4" s="629" t="s">
        <v>52</v>
      </c>
      <c r="J4" s="663">
        <f>C38</f>
        <v>0.87803832560732276</v>
      </c>
      <c r="K4" s="630" t="s">
        <v>28</v>
      </c>
      <c r="L4" s="666">
        <v>0</v>
      </c>
      <c r="M4" s="666">
        <f>M2*J4</f>
        <v>17560766.512146454</v>
      </c>
      <c r="N4" s="666">
        <f>N2*J4</f>
        <v>26341149.768219683</v>
      </c>
      <c r="O4" s="666">
        <f>O2*J4</f>
        <v>35121533.024292909</v>
      </c>
      <c r="P4" s="666">
        <f>P2*J4</f>
        <v>43901916.280366138</v>
      </c>
      <c r="Q4" s="666">
        <f>Q2*J4</f>
        <v>52682299.536439367</v>
      </c>
      <c r="R4" s="666">
        <f>R2*J4</f>
        <v>61462682.792512596</v>
      </c>
      <c r="S4" s="667">
        <f>S2*J4</f>
        <v>70243066.048585817</v>
      </c>
    </row>
    <row r="5" spans="1:40" ht="16.3">
      <c r="A5" s="631" t="s">
        <v>73</v>
      </c>
      <c r="B5" s="186"/>
      <c r="C5" s="653">
        <f>'Struttura Costi AZ. B'!B4</f>
        <v>2437374.106464</v>
      </c>
      <c r="D5" s="188">
        <f>'Struttura Costi AZ. B'!D60</f>
        <v>0.2</v>
      </c>
      <c r="E5" s="655">
        <f>D5*C5</f>
        <v>487474.82129280001</v>
      </c>
      <c r="F5" s="627">
        <f>'Struttura Costi AZ. B'!F60</f>
        <v>0.8</v>
      </c>
      <c r="G5" s="656">
        <f>F5*C5</f>
        <v>1949899.2851712001</v>
      </c>
      <c r="I5" s="629" t="s">
        <v>53</v>
      </c>
      <c r="J5" s="632">
        <f>C40</f>
        <v>4945476</v>
      </c>
      <c r="K5" s="633" t="s">
        <v>56</v>
      </c>
      <c r="L5" s="668">
        <f t="shared" ref="L5:S5" si="1">L3+L4</f>
        <v>2783011.6465928</v>
      </c>
      <c r="M5" s="668">
        <f t="shared" si="1"/>
        <v>20343778.158739254</v>
      </c>
      <c r="N5" s="668">
        <f t="shared" si="1"/>
        <v>29124161.414812483</v>
      </c>
      <c r="O5" s="668">
        <f t="shared" si="1"/>
        <v>37904544.670885712</v>
      </c>
      <c r="P5" s="668">
        <f t="shared" si="1"/>
        <v>46684927.926958941</v>
      </c>
      <c r="Q5" s="668">
        <f t="shared" si="1"/>
        <v>55465311.18303217</v>
      </c>
      <c r="R5" s="668">
        <f t="shared" si="1"/>
        <v>64245694.439105399</v>
      </c>
      <c r="S5" s="669">
        <f t="shared" si="1"/>
        <v>73026077.695178613</v>
      </c>
    </row>
    <row r="6" spans="1:40" ht="16.3">
      <c r="A6" s="634" t="s">
        <v>69</v>
      </c>
      <c r="B6" s="186"/>
      <c r="C6" s="653">
        <f>'Struttura Costi AZ. B'!B5</f>
        <v>2424711.9665000001</v>
      </c>
      <c r="D6" s="188">
        <f>'Struttura Costi AZ. B'!D61</f>
        <v>0.2</v>
      </c>
      <c r="E6" s="655">
        <f>D6*C6</f>
        <v>484942.39330000005</v>
      </c>
      <c r="F6" s="627">
        <f>'Struttura Costi AZ. B'!F61</f>
        <v>0.8</v>
      </c>
      <c r="G6" s="656">
        <f>F6*C6</f>
        <v>1939769.5732000002</v>
      </c>
      <c r="I6" s="635" t="s">
        <v>54</v>
      </c>
      <c r="J6" s="663">
        <f>C39/C40</f>
        <v>0.68685161954076823</v>
      </c>
      <c r="K6" s="636" t="s">
        <v>57</v>
      </c>
      <c r="L6" s="670">
        <v>0</v>
      </c>
      <c r="M6" s="670">
        <f>J6*M2</f>
        <v>13737032.390815364</v>
      </c>
      <c r="N6" s="670">
        <f>J6*N2</f>
        <v>20605548.586223047</v>
      </c>
      <c r="O6" s="670">
        <f>J6*O2</f>
        <v>27474064.781630728</v>
      </c>
      <c r="P6" s="670">
        <f>J6*P2</f>
        <v>34342580.977038413</v>
      </c>
      <c r="Q6" s="670">
        <f>J6*Q2</f>
        <v>41211097.172446094</v>
      </c>
      <c r="R6" s="670">
        <f>J6*R2</f>
        <v>48079613.367853776</v>
      </c>
      <c r="S6" s="671">
        <f>J6*S2</f>
        <v>54948129.563261457</v>
      </c>
    </row>
    <row r="7" spans="1:40" ht="16.899999999999999" thickBot="1">
      <c r="A7" s="637"/>
      <c r="B7" s="186"/>
      <c r="C7" s="653"/>
      <c r="D7" s="188"/>
      <c r="E7" s="655"/>
      <c r="F7" s="627"/>
      <c r="G7" s="656"/>
      <c r="I7" s="638"/>
      <c r="J7" s="639"/>
      <c r="K7" s="639"/>
      <c r="L7" s="639"/>
      <c r="M7" s="639"/>
      <c r="N7" s="639"/>
      <c r="O7" s="639"/>
      <c r="P7" s="639"/>
      <c r="Q7" s="639"/>
      <c r="R7" s="639"/>
      <c r="S7" s="640"/>
    </row>
    <row r="8" spans="1:40" ht="16.3">
      <c r="A8" s="641" t="s">
        <v>193</v>
      </c>
      <c r="B8" s="192"/>
      <c r="C8" s="654">
        <f>SUM(C4:C7)</f>
        <v>4862086.0729639996</v>
      </c>
      <c r="D8" s="193">
        <f>E8/C8</f>
        <v>0.2</v>
      </c>
      <c r="E8" s="654">
        <f>SUM(E4:E7)</f>
        <v>972417.21459280001</v>
      </c>
      <c r="F8" s="194">
        <f>G8/C8</f>
        <v>0.8</v>
      </c>
      <c r="G8" s="657">
        <f>SUM(G4:G7)</f>
        <v>3889668.8583712</v>
      </c>
    </row>
    <row r="9" spans="1:40" ht="16.3">
      <c r="B9" s="195"/>
      <c r="C9" s="196"/>
      <c r="D9" s="197"/>
      <c r="E9" s="103"/>
      <c r="F9" s="642"/>
      <c r="G9" s="565"/>
    </row>
    <row r="10" spans="1:40" ht="16.3">
      <c r="A10" s="643" t="s">
        <v>9</v>
      </c>
      <c r="B10" s="185"/>
      <c r="C10" s="198"/>
      <c r="D10" s="199"/>
      <c r="E10" s="180"/>
      <c r="F10" s="644"/>
      <c r="G10" s="645"/>
    </row>
    <row r="11" spans="1:40" ht="16.3">
      <c r="A11" s="646" t="str">
        <f>'Struttura Costi AZ. B'!A9</f>
        <v>PERSONALE</v>
      </c>
      <c r="B11" s="200"/>
      <c r="C11" s="653">
        <f>'Struttura Costi AZ. B'!B65</f>
        <v>594201</v>
      </c>
      <c r="D11" s="188">
        <f>'Struttura Costi AZ. B'!D65</f>
        <v>0.8</v>
      </c>
      <c r="E11" s="655">
        <f t="shared" ref="E11:E30" si="2">D11*C11</f>
        <v>475360.80000000005</v>
      </c>
      <c r="F11" s="627">
        <f>'Struttura Costi AZ. B'!F65</f>
        <v>0.2</v>
      </c>
      <c r="G11" s="656">
        <f t="shared" ref="G11:G30" si="3">F11*C11</f>
        <v>118840.20000000001</v>
      </c>
    </row>
    <row r="12" spans="1:40" ht="16.3">
      <c r="A12" s="646" t="str">
        <f>'Struttura Costi AZ. B'!A10</f>
        <v>TELEFONO</v>
      </c>
      <c r="B12" s="200"/>
      <c r="C12" s="653">
        <f>'Struttura Costi AZ. B'!B66</f>
        <v>25110</v>
      </c>
      <c r="D12" s="188">
        <f>'Struttura Costi AZ. B'!D66</f>
        <v>0.8</v>
      </c>
      <c r="E12" s="655">
        <f t="shared" si="2"/>
        <v>20088</v>
      </c>
      <c r="F12" s="627">
        <f>'Struttura Costi AZ. B'!F66</f>
        <v>0.2</v>
      </c>
      <c r="G12" s="656">
        <f t="shared" si="3"/>
        <v>5022</v>
      </c>
    </row>
    <row r="13" spans="1:40" ht="16.3">
      <c r="A13" s="646" t="str">
        <f>'Struttura Costi AZ. B'!A11</f>
        <v>ACQUA</v>
      </c>
      <c r="B13" s="200"/>
      <c r="C13" s="653">
        <f>'Struttura Costi AZ. B'!B67</f>
        <v>101500</v>
      </c>
      <c r="D13" s="188">
        <f>'Struttura Costi AZ. B'!D67</f>
        <v>0.8</v>
      </c>
      <c r="E13" s="655">
        <f t="shared" si="2"/>
        <v>81200</v>
      </c>
      <c r="F13" s="627">
        <f>'Struttura Costi AZ. B'!F67</f>
        <v>0.2</v>
      </c>
      <c r="G13" s="656">
        <f t="shared" si="3"/>
        <v>20300</v>
      </c>
    </row>
    <row r="14" spans="1:40" ht="16.3">
      <c r="A14" s="646" t="str">
        <f>'Struttura Costi AZ. B'!A12</f>
        <v>GAS</v>
      </c>
      <c r="B14" s="200"/>
      <c r="C14" s="653">
        <f>'Struttura Costi AZ. B'!B68</f>
        <v>60950</v>
      </c>
      <c r="D14" s="188">
        <f>'Struttura Costi AZ. B'!D68</f>
        <v>0.8</v>
      </c>
      <c r="E14" s="655">
        <f t="shared" si="2"/>
        <v>48760</v>
      </c>
      <c r="F14" s="627">
        <f>'Struttura Costi AZ. B'!F68</f>
        <v>0.2</v>
      </c>
      <c r="G14" s="656">
        <f t="shared" si="3"/>
        <v>12190</v>
      </c>
    </row>
    <row r="15" spans="1:40" ht="16.3">
      <c r="A15" s="646" t="str">
        <f>'Struttura Costi AZ. B'!A13</f>
        <v>ENERGIA</v>
      </c>
      <c r="B15" s="200"/>
      <c r="C15" s="653">
        <f>'Struttura Costi AZ. B'!B69</f>
        <v>31300</v>
      </c>
      <c r="D15" s="188">
        <f>'Struttura Costi AZ. B'!D69</f>
        <v>0.8</v>
      </c>
      <c r="E15" s="655">
        <f>D15*C15</f>
        <v>25040</v>
      </c>
      <c r="F15" s="627">
        <f>'Struttura Costi AZ. B'!F69</f>
        <v>0.2</v>
      </c>
      <c r="G15" s="656">
        <f t="shared" si="3"/>
        <v>6260</v>
      </c>
    </row>
    <row r="16" spans="1:40" ht="16.3">
      <c r="A16" s="646" t="str">
        <f>'Struttura Costi AZ. B'!A14</f>
        <v>ALTRE UTENZE</v>
      </c>
      <c r="B16" s="200"/>
      <c r="C16" s="653">
        <f>'Struttura Costi AZ. B'!B70</f>
        <v>36550</v>
      </c>
      <c r="D16" s="188">
        <f>'Struttura Costi AZ. B'!D70</f>
        <v>0.8</v>
      </c>
      <c r="E16" s="655">
        <f>D16*C16</f>
        <v>29240</v>
      </c>
      <c r="F16" s="627">
        <f>'Struttura Costi AZ. B'!F70</f>
        <v>0.2</v>
      </c>
      <c r="G16" s="656">
        <f t="shared" si="3"/>
        <v>7310</v>
      </c>
    </row>
    <row r="17" spans="1:9" ht="16.3">
      <c r="A17" s="646" t="str">
        <f>'Struttura Costi AZ. B'!A15</f>
        <v>CONSULENZE FISCALI E LEGALI</v>
      </c>
      <c r="B17" s="200"/>
      <c r="C17" s="653">
        <f>'Struttura Costi AZ. B'!B71</f>
        <v>8500</v>
      </c>
      <c r="D17" s="188">
        <f>'Struttura Costi AZ. B'!D71</f>
        <v>0.8</v>
      </c>
      <c r="E17" s="655">
        <f t="shared" si="2"/>
        <v>6800</v>
      </c>
      <c r="F17" s="627">
        <f>'Struttura Costi AZ. B'!F71</f>
        <v>0.2</v>
      </c>
      <c r="G17" s="656">
        <f t="shared" si="3"/>
        <v>1700</v>
      </c>
    </row>
    <row r="18" spans="1:9" ht="16.3">
      <c r="A18" s="646" t="str">
        <f>'Struttura Costi AZ. B'!A16</f>
        <v>CONSULENZE TECNICHE</v>
      </c>
      <c r="B18" s="200"/>
      <c r="C18" s="653">
        <f>'Struttura Costi AZ. B'!B72</f>
        <v>72600</v>
      </c>
      <c r="D18" s="188">
        <f>'Struttura Costi AZ. B'!D72</f>
        <v>0.8</v>
      </c>
      <c r="E18" s="655">
        <f t="shared" si="2"/>
        <v>58080</v>
      </c>
      <c r="F18" s="627">
        <f>'Struttura Costi AZ. B'!F72</f>
        <v>0.2</v>
      </c>
      <c r="G18" s="656">
        <f t="shared" si="3"/>
        <v>14520</v>
      </c>
    </row>
    <row r="19" spans="1:9" ht="16.3">
      <c r="A19" s="646" t="str">
        <f>'Struttura Costi AZ. B'!A17</f>
        <v>COMPENSI AMMINISTRATORI</v>
      </c>
      <c r="B19" s="200"/>
      <c r="C19" s="653">
        <f>'Struttura Costi AZ. B'!B73</f>
        <v>120000</v>
      </c>
      <c r="D19" s="188">
        <f>'Struttura Costi AZ. B'!D73</f>
        <v>0.8</v>
      </c>
      <c r="E19" s="655">
        <f t="shared" si="2"/>
        <v>96000</v>
      </c>
      <c r="F19" s="627">
        <f>'Struttura Costi AZ. B'!F73</f>
        <v>0.2</v>
      </c>
      <c r="G19" s="656">
        <f t="shared" si="3"/>
        <v>24000</v>
      </c>
    </row>
    <row r="20" spans="1:9" ht="16.3">
      <c r="A20" s="646" t="str">
        <f>'Struttura Costi AZ. B'!A18</f>
        <v>PROMOZIONE/PUBBL.</v>
      </c>
      <c r="B20" s="200"/>
      <c r="C20" s="653">
        <f>'Struttura Costi AZ. B'!B74</f>
        <v>37500</v>
      </c>
      <c r="D20" s="188">
        <f>'Struttura Costi AZ. B'!D74</f>
        <v>0.8</v>
      </c>
      <c r="E20" s="655">
        <f t="shared" si="2"/>
        <v>30000</v>
      </c>
      <c r="F20" s="627">
        <f>'Struttura Costi AZ. B'!F74</f>
        <v>0.2</v>
      </c>
      <c r="G20" s="656">
        <f t="shared" si="3"/>
        <v>7500</v>
      </c>
    </row>
    <row r="21" spans="1:9" ht="16.3">
      <c r="A21" s="646" t="str">
        <f>'Struttura Costi AZ. B'!A19</f>
        <v>VIAGGI</v>
      </c>
      <c r="B21" s="200"/>
      <c r="C21" s="653">
        <f>'Struttura Costi AZ. B'!B75</f>
        <v>27488</v>
      </c>
      <c r="D21" s="188">
        <f>'Struttura Costi AZ. B'!D75</f>
        <v>0.8</v>
      </c>
      <c r="E21" s="655">
        <f t="shared" si="2"/>
        <v>21990.400000000001</v>
      </c>
      <c r="F21" s="627">
        <f>'Struttura Costi AZ. B'!F75</f>
        <v>0.2</v>
      </c>
      <c r="G21" s="656">
        <f t="shared" si="3"/>
        <v>5497.6</v>
      </c>
    </row>
    <row r="22" spans="1:9" ht="16.3">
      <c r="A22" s="646" t="str">
        <f>'Struttura Costi AZ. B'!A20</f>
        <v>FIERE</v>
      </c>
      <c r="B22" s="200"/>
      <c r="C22" s="653">
        <f>'Struttura Costi AZ. B'!B76</f>
        <v>35456</v>
      </c>
      <c r="D22" s="188">
        <f>'Struttura Costi AZ. B'!D76</f>
        <v>0.8</v>
      </c>
      <c r="E22" s="655">
        <f t="shared" si="2"/>
        <v>28364.800000000003</v>
      </c>
      <c r="F22" s="627">
        <f>'Struttura Costi AZ. B'!F76</f>
        <v>0.2</v>
      </c>
      <c r="G22" s="656">
        <f t="shared" si="3"/>
        <v>7091.2000000000007</v>
      </c>
    </row>
    <row r="23" spans="1:9" ht="16.3">
      <c r="A23" s="646" t="str">
        <f>'Struttura Costi AZ. B'!A21</f>
        <v>PROVVIGIONI E RIMBORSO SPESE</v>
      </c>
      <c r="B23" s="200"/>
      <c r="C23" s="653">
        <f>'Struttura Costi AZ. B'!B77</f>
        <v>35500</v>
      </c>
      <c r="D23" s="188">
        <f>'Struttura Costi AZ. B'!D77</f>
        <v>0.8</v>
      </c>
      <c r="E23" s="655">
        <f t="shared" si="2"/>
        <v>28400</v>
      </c>
      <c r="F23" s="627">
        <f>'Struttura Costi AZ. B'!F77</f>
        <v>0.2</v>
      </c>
      <c r="G23" s="656">
        <f t="shared" si="3"/>
        <v>7100</v>
      </c>
    </row>
    <row r="24" spans="1:9" ht="16.3">
      <c r="A24" s="646" t="str">
        <f>'Struttura Costi AZ. B'!A22</f>
        <v>MANUTENZIONE</v>
      </c>
      <c r="B24" s="200"/>
      <c r="C24" s="653">
        <f>'Struttura Costi AZ. B'!B78</f>
        <v>73500</v>
      </c>
      <c r="D24" s="188">
        <f>'Struttura Costi AZ. B'!D78</f>
        <v>0.8</v>
      </c>
      <c r="E24" s="655">
        <f t="shared" si="2"/>
        <v>58800</v>
      </c>
      <c r="F24" s="627">
        <f>'Struttura Costi AZ. B'!F78</f>
        <v>0.2</v>
      </c>
      <c r="G24" s="656">
        <f t="shared" si="3"/>
        <v>14700</v>
      </c>
    </row>
    <row r="25" spans="1:9" ht="16.3">
      <c r="A25" s="646" t="str">
        <f>'Struttura Costi AZ. B'!A23</f>
        <v>TRASPORTO</v>
      </c>
      <c r="B25" s="200"/>
      <c r="C25" s="653">
        <f>'Struttura Costi AZ. B'!B79</f>
        <v>72100</v>
      </c>
      <c r="D25" s="188">
        <f>'Struttura Costi AZ. B'!D79</f>
        <v>0.8</v>
      </c>
      <c r="E25" s="655">
        <f t="shared" si="2"/>
        <v>57680</v>
      </c>
      <c r="F25" s="627">
        <f>'Struttura Costi AZ. B'!F79</f>
        <v>0.2</v>
      </c>
      <c r="G25" s="656">
        <f t="shared" si="3"/>
        <v>14420</v>
      </c>
    </row>
    <row r="26" spans="1:9" ht="16.3">
      <c r="A26" s="646" t="str">
        <f>'Struttura Costi AZ. B'!A24</f>
        <v>ASSICURAZIONI</v>
      </c>
      <c r="B26" s="200"/>
      <c r="C26" s="653">
        <f>'Struttura Costi AZ. B'!B80</f>
        <v>110000</v>
      </c>
      <c r="D26" s="188">
        <f>'Struttura Costi AZ. B'!D80</f>
        <v>0.8</v>
      </c>
      <c r="E26" s="655">
        <f t="shared" si="2"/>
        <v>88000</v>
      </c>
      <c r="F26" s="627">
        <f>'Struttura Costi AZ. B'!F80</f>
        <v>0.2</v>
      </c>
      <c r="G26" s="656">
        <f t="shared" si="3"/>
        <v>22000</v>
      </c>
    </row>
    <row r="27" spans="1:9" ht="16.3">
      <c r="A27" s="646" t="str">
        <f>'Struttura Costi AZ. B'!A25</f>
        <v>MATERIALE DI CONSUMO</v>
      </c>
      <c r="B27" s="200"/>
      <c r="C27" s="653">
        <f>'Struttura Costi AZ. B'!B81</f>
        <v>122300</v>
      </c>
      <c r="D27" s="188">
        <f>'Struttura Costi AZ. B'!D81</f>
        <v>0.8</v>
      </c>
      <c r="E27" s="655">
        <f t="shared" si="2"/>
        <v>97840</v>
      </c>
      <c r="F27" s="627">
        <f>'Struttura Costi AZ. B'!F81</f>
        <v>0.2</v>
      </c>
      <c r="G27" s="656">
        <f t="shared" si="3"/>
        <v>24460</v>
      </c>
    </row>
    <row r="28" spans="1:9" ht="16.3">
      <c r="A28" s="646" t="str">
        <f>'Struttura Costi AZ. B'!A26</f>
        <v>AMMORTAMENTO</v>
      </c>
      <c r="B28" s="200"/>
      <c r="C28" s="653">
        <f>'Struttura Costi AZ. B'!B82</f>
        <v>556759.02</v>
      </c>
      <c r="D28" s="188">
        <f>'Struttura Costi AZ. B'!D82</f>
        <v>0.8</v>
      </c>
      <c r="E28" s="655">
        <f t="shared" si="2"/>
        <v>445407.21600000001</v>
      </c>
      <c r="F28" s="627">
        <f>'Struttura Costi AZ. B'!F82</f>
        <v>0.2</v>
      </c>
      <c r="G28" s="656">
        <f>F28*C28</f>
        <v>111351.804</v>
      </c>
    </row>
    <row r="29" spans="1:9" ht="16.3">
      <c r="A29" s="646" t="str">
        <f>'Struttura Costi AZ. B'!A27</f>
        <v>LOCAZIONE IMMOBILE</v>
      </c>
      <c r="B29" s="200"/>
      <c r="C29" s="653">
        <f>'Struttura Costi AZ. B'!B83</f>
        <v>123976.02</v>
      </c>
      <c r="D29" s="188">
        <f>'Struttura Costi AZ. B'!D83</f>
        <v>0.8</v>
      </c>
      <c r="E29" s="655">
        <f t="shared" si="2"/>
        <v>99180.816000000006</v>
      </c>
      <c r="F29" s="627">
        <f>'Struttura Costi AZ. B'!F83</f>
        <v>0.2</v>
      </c>
      <c r="G29" s="656">
        <f t="shared" si="3"/>
        <v>24795.204000000002</v>
      </c>
    </row>
    <row r="30" spans="1:9" ht="16.3">
      <c r="A30" s="646" t="str">
        <f>'Struttura Costi AZ. B'!A28</f>
        <v>SPESE GENERALI</v>
      </c>
      <c r="B30" s="200"/>
      <c r="C30" s="653">
        <f>'Struttura Costi AZ. B'!B84</f>
        <v>17953</v>
      </c>
      <c r="D30" s="188">
        <f>'Struttura Costi AZ. B'!D84</f>
        <v>0.8</v>
      </c>
      <c r="E30" s="655">
        <f t="shared" si="2"/>
        <v>14362.400000000001</v>
      </c>
      <c r="F30" s="627">
        <f>'Struttura Costi AZ. B'!F84</f>
        <v>0.2</v>
      </c>
      <c r="G30" s="656">
        <f t="shared" si="3"/>
        <v>3590.6000000000004</v>
      </c>
      <c r="I30" s="166"/>
    </row>
    <row r="31" spans="1:9" ht="16.3">
      <c r="A31" s="646" t="str">
        <f>'Struttura Costi AZ. B'!A29</f>
        <v>TOTALE COSTI INDIRETTI</v>
      </c>
      <c r="B31" s="192"/>
      <c r="C31" s="654">
        <f>'Struttura Costi AZ. B'!B29</f>
        <v>2263243.04</v>
      </c>
      <c r="D31" s="193">
        <f>E31/C31</f>
        <v>0.8</v>
      </c>
      <c r="E31" s="654">
        <f>SUM(E11:E30)</f>
        <v>1810594.432</v>
      </c>
      <c r="F31" s="193">
        <f>G31/C31</f>
        <v>0.2</v>
      </c>
      <c r="G31" s="654">
        <f>SUM(G11:G30)</f>
        <v>452648.60800000001</v>
      </c>
    </row>
    <row r="32" spans="1:9" ht="16.3">
      <c r="B32" s="192"/>
      <c r="C32" s="58"/>
      <c r="D32" s="201"/>
      <c r="E32" s="202"/>
      <c r="F32" s="203"/>
      <c r="G32" s="645"/>
    </row>
    <row r="33" spans="1:9" ht="17.55">
      <c r="A33" s="211" t="str">
        <f>'Struttura Costi AZ. B'!A30</f>
        <v>TOTALE COSTI</v>
      </c>
      <c r="B33" s="192"/>
      <c r="C33" s="654">
        <f>'Struttura Costi AZ. B'!B30</f>
        <v>7125329.1129639996</v>
      </c>
      <c r="D33" s="193">
        <f>E33/C33</f>
        <v>0.39058008443839037</v>
      </c>
      <c r="E33" s="654">
        <f>E8+E31</f>
        <v>2783011.6465928</v>
      </c>
      <c r="F33" s="194">
        <f>G33/C33</f>
        <v>0.60941991556160968</v>
      </c>
      <c r="G33" s="654">
        <f>G8+G31</f>
        <v>4342317.4663712</v>
      </c>
      <c r="I33" s="166"/>
    </row>
    <row r="34" spans="1:9" ht="17.55">
      <c r="A34" s="212"/>
      <c r="B34" s="207"/>
      <c r="C34" s="205"/>
      <c r="D34" s="206"/>
      <c r="E34" s="207"/>
      <c r="F34" s="208"/>
      <c r="G34" s="207"/>
    </row>
    <row r="35" spans="1:9" ht="15.05">
      <c r="A35" s="776" t="s">
        <v>30</v>
      </c>
      <c r="B35" s="776"/>
      <c r="C35" s="661">
        <f>C33</f>
        <v>7125329.1129639996</v>
      </c>
      <c r="D35" s="209"/>
    </row>
    <row r="36" spans="1:9" ht="15.05">
      <c r="A36" s="776" t="s">
        <v>31</v>
      </c>
      <c r="B36" s="776"/>
      <c r="C36" s="661">
        <f>E33</f>
        <v>2783011.6465928</v>
      </c>
      <c r="D36" s="209"/>
    </row>
    <row r="37" spans="1:9" ht="15.05">
      <c r="A37" s="776" t="s">
        <v>32</v>
      </c>
      <c r="B37" s="776"/>
      <c r="C37" s="661">
        <f>G33</f>
        <v>4342317.4663712</v>
      </c>
      <c r="D37" s="209"/>
    </row>
    <row r="38" spans="1:9" ht="15.05">
      <c r="A38" s="776" t="s">
        <v>33</v>
      </c>
      <c r="B38" s="776"/>
      <c r="C38" s="661">
        <f>G33/C40</f>
        <v>0.87803832560732276</v>
      </c>
      <c r="D38" s="209"/>
    </row>
    <row r="39" spans="1:9" ht="15.05">
      <c r="A39" s="776" t="s">
        <v>34</v>
      </c>
      <c r="B39" s="776"/>
      <c r="C39" s="661">
        <f>'Scheda Ricavi'!B25</f>
        <v>3396808.2</v>
      </c>
      <c r="D39" s="209"/>
    </row>
    <row r="40" spans="1:9" ht="15.05">
      <c r="A40" s="776" t="s">
        <v>225</v>
      </c>
      <c r="B40" s="776"/>
      <c r="C40" s="661">
        <f>'Struttura Ricavi'!B35+'Struttura Ricavi'!B40+'Struttura Ricavi'!B49+'Struttura Ricavi'!B54</f>
        <v>4945476</v>
      </c>
      <c r="D40" s="80"/>
    </row>
    <row r="41" spans="1:9" ht="15.05">
      <c r="A41" s="776" t="s">
        <v>226</v>
      </c>
      <c r="B41" s="776"/>
      <c r="C41" s="661">
        <f>'Struttura Ricavi'!B35+'Struttura Ricavi'!B40+'Struttura Ricavi'!B44+'Struttura Ricavi'!B45+'Struttura Ricavi'!B49+'Struttura Ricavi'!B54+'Struttura Ricavi'!B58+'Struttura Ricavi'!B59</f>
        <v>12843476</v>
      </c>
      <c r="D41" s="80"/>
    </row>
    <row r="42" spans="1:9" ht="15.05">
      <c r="A42" s="776" t="s">
        <v>223</v>
      </c>
      <c r="B42" s="776"/>
      <c r="C42" s="661">
        <f>C39/C40</f>
        <v>0.68685161954076823</v>
      </c>
      <c r="D42" s="213"/>
    </row>
    <row r="43" spans="1:9" ht="15.05">
      <c r="A43" s="777" t="s">
        <v>36</v>
      </c>
      <c r="B43" s="777"/>
      <c r="C43" s="661">
        <f>C36/(1-(C37/C39))</f>
        <v>-9998164.0773582906</v>
      </c>
    </row>
    <row r="44" spans="1:9" ht="15.05">
      <c r="A44" s="777" t="s">
        <v>224</v>
      </c>
      <c r="B44" s="777"/>
      <c r="C44" s="660">
        <f>C36/(C42-C38)</f>
        <v>-14556512.342568412</v>
      </c>
    </row>
    <row r="45" spans="1:9" ht="15.05">
      <c r="A45" s="777" t="s">
        <v>240</v>
      </c>
      <c r="B45" s="777"/>
      <c r="C45" s="660">
        <f>C39-C37</f>
        <v>-945509.26637119986</v>
      </c>
    </row>
    <row r="46" spans="1:9" ht="15.05">
      <c r="A46" s="777" t="s">
        <v>7</v>
      </c>
      <c r="B46" s="777"/>
      <c r="C46" s="661">
        <f>1/(1-(C36/C45))</f>
        <v>0.25358829638950964</v>
      </c>
      <c r="D46" s="661">
        <f>(C39-C37)/'C.E. Riclassificato'!B84</f>
        <v>0.25358829638950969</v>
      </c>
      <c r="E46" s="661">
        <f>C45/(C45-C36)</f>
        <v>0.25358829638950964</v>
      </c>
    </row>
    <row r="47" spans="1:9" ht="15.05">
      <c r="A47" s="780" t="s">
        <v>254</v>
      </c>
      <c r="B47" s="777"/>
      <c r="C47" s="662">
        <f>IF(C44&lt;0,(C40+C44)/C40,(C40-C44)/C40)</f>
        <v>-1.9433996530502651</v>
      </c>
      <c r="D47" s="662">
        <f>IF(C43&lt;0,(C39+C43)/C39,(C39-C43)/C39)</f>
        <v>-1.9433996530502635</v>
      </c>
    </row>
    <row r="49" spans="3:4" ht="15.05">
      <c r="C49" s="210"/>
      <c r="D49" s="662"/>
    </row>
  </sheetData>
  <mergeCells count="15">
    <mergeCell ref="A1:G1"/>
    <mergeCell ref="A35:B35"/>
    <mergeCell ref="A36:B36"/>
    <mergeCell ref="A37:B37"/>
    <mergeCell ref="A47:B47"/>
    <mergeCell ref="A41:B41"/>
    <mergeCell ref="A46:B46"/>
    <mergeCell ref="I2:J2"/>
    <mergeCell ref="A38:B38"/>
    <mergeCell ref="A39:B39"/>
    <mergeCell ref="A40:B40"/>
    <mergeCell ref="A45:B45"/>
    <mergeCell ref="A42:B42"/>
    <mergeCell ref="A43:B43"/>
    <mergeCell ref="A44:B44"/>
  </mergeCells>
  <phoneticPr fontId="0" type="noConversion"/>
  <pageMargins left="0.3" right="0.46" top="0.42" bottom="0.37" header="0.28999999999999998" footer="0.25"/>
  <pageSetup paperSize="9" scale="61" orientation="landscape" horizontalDpi="300"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2"/>
  <dimension ref="A1:AN96"/>
  <sheetViews>
    <sheetView zoomScaleNormal="100" zoomScaleSheetLayoutView="75" workbookViewId="0">
      <selection sqref="A1:G1"/>
    </sheetView>
  </sheetViews>
  <sheetFormatPr defaultColWidth="9.109375" defaultRowHeight="12.55"/>
  <cols>
    <col min="1" max="1" width="40" style="58" customWidth="1"/>
    <col min="2" max="2" width="3.44140625" style="58" customWidth="1"/>
    <col min="3" max="3" width="19.109375" style="58" customWidth="1"/>
    <col min="4" max="4" width="10.6640625" style="371" customWidth="1"/>
    <col min="5" max="5" width="19.109375" style="58" customWidth="1"/>
    <col min="6" max="6" width="10.5546875" style="371" customWidth="1"/>
    <col min="7" max="7" width="21.109375" style="58" customWidth="1"/>
    <col min="8" max="8" width="5.5546875" style="58" customWidth="1"/>
    <col min="9" max="9" width="7.109375" style="58" bestFit="1" customWidth="1"/>
    <col min="10" max="10" width="10" style="58" customWidth="1"/>
    <col min="11" max="11" width="15.109375" style="58" bestFit="1" customWidth="1"/>
    <col min="12" max="12" width="11.6640625" style="58" bestFit="1" customWidth="1"/>
    <col min="13" max="19" width="12.5546875" style="58" bestFit="1" customWidth="1"/>
    <col min="20" max="20" width="10.5546875" style="58" customWidth="1"/>
    <col min="21" max="21" width="10.109375" style="58" customWidth="1"/>
    <col min="22" max="22" width="7.88671875" style="58" customWidth="1"/>
    <col min="23" max="23" width="10.88671875" style="58" customWidth="1"/>
    <col min="24" max="24" width="6.44140625" style="58" customWidth="1"/>
    <col min="25" max="25" width="34.33203125" style="58" bestFit="1" customWidth="1"/>
    <col min="26" max="26" width="6.6640625" style="58" customWidth="1"/>
    <col min="27" max="27" width="10.44140625" style="58" customWidth="1"/>
    <col min="28" max="28" width="10.109375" style="58" customWidth="1"/>
    <col min="29" max="29" width="11.109375" style="58" customWidth="1"/>
    <col min="30" max="30" width="8" style="58" customWidth="1"/>
    <col min="31" max="31" width="10.33203125" style="58" customWidth="1"/>
    <col min="32" max="32" width="5.33203125" style="58" customWidth="1"/>
    <col min="33" max="33" width="34.33203125" style="58" bestFit="1" customWidth="1"/>
    <col min="34" max="34" width="6.44140625" style="58" customWidth="1"/>
    <col min="35" max="35" width="11.6640625" style="58" customWidth="1"/>
    <col min="36" max="36" width="11" style="58" customWidth="1"/>
    <col min="37" max="37" width="11.5546875" style="58" customWidth="1"/>
    <col min="38" max="38" width="8.5546875" style="58" customWidth="1"/>
    <col min="39" max="39" width="12.44140625" style="58" customWidth="1"/>
    <col min="40" max="40" width="6.33203125" style="58" customWidth="1"/>
    <col min="41" max="41" width="34.33203125" style="58" bestFit="1" customWidth="1"/>
    <col min="42" max="42" width="5" style="58" customWidth="1"/>
    <col min="43" max="43" width="12.33203125" style="58" customWidth="1"/>
    <col min="44" max="44" width="7.44140625" style="58" customWidth="1"/>
    <col min="45" max="45" width="10.5546875" style="58" customWidth="1"/>
    <col min="46" max="46" width="8.5546875" style="58" customWidth="1"/>
    <col min="47" max="47" width="11.109375" style="58" customWidth="1"/>
    <col min="48" max="16384" width="9.109375" style="58"/>
  </cols>
  <sheetData>
    <row r="1" spans="1:40" ht="13.8" thickBot="1">
      <c r="A1" s="774" t="s">
        <v>200</v>
      </c>
      <c r="B1" s="775"/>
      <c r="C1" s="775"/>
      <c r="D1" s="775"/>
      <c r="E1" s="775"/>
      <c r="F1" s="775"/>
      <c r="G1" s="775"/>
      <c r="H1" s="181"/>
      <c r="P1" s="181"/>
      <c r="X1" s="181"/>
      <c r="AF1" s="181"/>
      <c r="AN1" s="181"/>
    </row>
    <row r="2" spans="1:40" ht="13.15">
      <c r="A2" s="153" t="s">
        <v>1</v>
      </c>
      <c r="B2" s="612"/>
      <c r="C2" s="613">
        <v>44926</v>
      </c>
      <c r="D2" s="184" t="s">
        <v>3</v>
      </c>
      <c r="E2" s="184" t="s">
        <v>27</v>
      </c>
      <c r="F2" s="184" t="s">
        <v>3</v>
      </c>
      <c r="G2" s="184" t="s">
        <v>28</v>
      </c>
      <c r="I2" s="778">
        <f>C2</f>
        <v>44926</v>
      </c>
      <c r="J2" s="779"/>
      <c r="K2" s="614" t="s">
        <v>55</v>
      </c>
      <c r="L2" s="615">
        <v>0</v>
      </c>
      <c r="M2" s="615">
        <v>20000000</v>
      </c>
      <c r="N2" s="616">
        <v>30000000</v>
      </c>
      <c r="O2" s="616">
        <v>40000000</v>
      </c>
      <c r="P2" s="615">
        <v>50000000</v>
      </c>
      <c r="Q2" s="616">
        <v>60000000</v>
      </c>
      <c r="R2" s="615">
        <v>70000000</v>
      </c>
      <c r="S2" s="616">
        <v>80000000</v>
      </c>
    </row>
    <row r="3" spans="1:40" ht="15.05">
      <c r="A3" s="617" t="s">
        <v>29</v>
      </c>
      <c r="B3" s="156"/>
      <c r="C3" s="156"/>
      <c r="D3" s="618"/>
      <c r="E3" s="619"/>
      <c r="F3" s="620"/>
      <c r="G3" s="619"/>
      <c r="I3" s="621"/>
      <c r="J3" s="622"/>
      <c r="K3" s="623" t="s">
        <v>27</v>
      </c>
      <c r="L3" s="664">
        <f>M3</f>
        <v>1395129.6673071578</v>
      </c>
      <c r="M3" s="664">
        <f>E33</f>
        <v>1395129.6673071578</v>
      </c>
      <c r="N3" s="664">
        <f t="shared" ref="N3:S3" si="0">M3</f>
        <v>1395129.6673071578</v>
      </c>
      <c r="O3" s="664">
        <f t="shared" si="0"/>
        <v>1395129.6673071578</v>
      </c>
      <c r="P3" s="664">
        <f t="shared" si="0"/>
        <v>1395129.6673071578</v>
      </c>
      <c r="Q3" s="664">
        <f t="shared" si="0"/>
        <v>1395129.6673071578</v>
      </c>
      <c r="R3" s="664">
        <f t="shared" si="0"/>
        <v>1395129.6673071578</v>
      </c>
      <c r="S3" s="665">
        <f t="shared" si="0"/>
        <v>1395129.6673071578</v>
      </c>
    </row>
    <row r="4" spans="1:40" ht="16.3">
      <c r="A4" s="624"/>
      <c r="B4" s="625"/>
      <c r="C4" s="187"/>
      <c r="D4" s="188"/>
      <c r="E4" s="626"/>
      <c r="F4" s="627"/>
      <c r="G4" s="628"/>
      <c r="I4" s="629" t="s">
        <v>52</v>
      </c>
      <c r="J4" s="663">
        <f>C38</f>
        <v>0.61181216418401629</v>
      </c>
      <c r="K4" s="630" t="s">
        <v>28</v>
      </c>
      <c r="L4" s="666">
        <v>0</v>
      </c>
      <c r="M4" s="666">
        <f>M2*J4</f>
        <v>12236243.283680325</v>
      </c>
      <c r="N4" s="666">
        <f>N2*J4</f>
        <v>18354364.925520487</v>
      </c>
      <c r="O4" s="666">
        <f>O2*J4</f>
        <v>24472486.567360651</v>
      </c>
      <c r="P4" s="666">
        <f>P2*J4</f>
        <v>30590608.209200814</v>
      </c>
      <c r="Q4" s="666">
        <f>Q2*J4</f>
        <v>36708729.851040974</v>
      </c>
      <c r="R4" s="666">
        <f>R2*J4</f>
        <v>42826851.492881142</v>
      </c>
      <c r="S4" s="667">
        <f>S2*J4</f>
        <v>48944973.134721301</v>
      </c>
    </row>
    <row r="5" spans="1:40" ht="16.3">
      <c r="A5" s="631" t="s">
        <v>73</v>
      </c>
      <c r="B5" s="625"/>
      <c r="C5" s="653">
        <f>'Struttura Costi AZ. B'!B4</f>
        <v>2437374.106464</v>
      </c>
      <c r="D5" s="188">
        <f>'Struttura Costi AZ. B'!D60</f>
        <v>0.2</v>
      </c>
      <c r="E5" s="655">
        <f>D5*C5</f>
        <v>487474.82129280001</v>
      </c>
      <c r="F5" s="627">
        <f>'Struttura Costi AZ. B'!F60</f>
        <v>0.8</v>
      </c>
      <c r="G5" s="656">
        <f>F5*C5</f>
        <v>1949899.2851712001</v>
      </c>
      <c r="I5" s="629" t="s">
        <v>53</v>
      </c>
      <c r="J5" s="632">
        <f>C40</f>
        <v>3557976</v>
      </c>
      <c r="K5" s="633" t="s">
        <v>56</v>
      </c>
      <c r="L5" s="668">
        <f t="shared" ref="L5:S5" si="1">L3+L4</f>
        <v>1395129.6673071578</v>
      </c>
      <c r="M5" s="668">
        <f t="shared" si="1"/>
        <v>13631372.950987482</v>
      </c>
      <c r="N5" s="668">
        <f t="shared" si="1"/>
        <v>19749494.592827644</v>
      </c>
      <c r="O5" s="668">
        <f t="shared" si="1"/>
        <v>25867616.234667808</v>
      </c>
      <c r="P5" s="668">
        <f t="shared" si="1"/>
        <v>31985737.876507971</v>
      </c>
      <c r="Q5" s="668">
        <f t="shared" si="1"/>
        <v>38103859.518348135</v>
      </c>
      <c r="R5" s="668">
        <f t="shared" si="1"/>
        <v>44221981.160188302</v>
      </c>
      <c r="S5" s="669">
        <f t="shared" si="1"/>
        <v>50340102.802028462</v>
      </c>
    </row>
    <row r="6" spans="1:40" ht="16.3">
      <c r="A6" s="634"/>
      <c r="B6" s="625"/>
      <c r="C6" s="653"/>
      <c r="D6" s="188"/>
      <c r="E6" s="655"/>
      <c r="F6" s="627"/>
      <c r="G6" s="656"/>
      <c r="I6" s="635" t="s">
        <v>54</v>
      </c>
      <c r="J6" s="663">
        <f>C39/C40</f>
        <v>0.65165790887853103</v>
      </c>
      <c r="K6" s="636" t="s">
        <v>57</v>
      </c>
      <c r="L6" s="670">
        <v>0</v>
      </c>
      <c r="M6" s="670">
        <f>J6*M2</f>
        <v>13033158.177570621</v>
      </c>
      <c r="N6" s="670">
        <f>J6*N2</f>
        <v>19549737.266355932</v>
      </c>
      <c r="O6" s="670">
        <f>J6*O2</f>
        <v>26066316.355141241</v>
      </c>
      <c r="P6" s="670">
        <f>J6*P2</f>
        <v>32582895.44392655</v>
      </c>
      <c r="Q6" s="670">
        <f>J6*Q2</f>
        <v>39099474.532711864</v>
      </c>
      <c r="R6" s="670">
        <f>J6*R2</f>
        <v>45616053.621497169</v>
      </c>
      <c r="S6" s="671">
        <f>J6*S2</f>
        <v>52132632.710282482</v>
      </c>
    </row>
    <row r="7" spans="1:40" ht="16.899999999999999" thickBot="1">
      <c r="A7" s="637"/>
      <c r="B7" s="625"/>
      <c r="C7" s="653"/>
      <c r="D7" s="188"/>
      <c r="E7" s="655"/>
      <c r="F7" s="627"/>
      <c r="G7" s="656"/>
      <c r="I7" s="638"/>
      <c r="J7" s="639"/>
      <c r="K7" s="639"/>
      <c r="L7" s="639"/>
      <c r="M7" s="639"/>
      <c r="N7" s="639"/>
      <c r="O7" s="639"/>
      <c r="P7" s="639"/>
      <c r="Q7" s="639"/>
      <c r="R7" s="639"/>
      <c r="S7" s="640"/>
    </row>
    <row r="8" spans="1:40" ht="16.3">
      <c r="A8" s="641" t="s">
        <v>49</v>
      </c>
      <c r="B8" s="192"/>
      <c r="C8" s="654">
        <f>SUM(C4:C7)</f>
        <v>2437374.106464</v>
      </c>
      <c r="D8" s="193">
        <f>E8/C8</f>
        <v>0.2</v>
      </c>
      <c r="E8" s="654">
        <f>SUM(E4:E7)</f>
        <v>487474.82129280001</v>
      </c>
      <c r="F8" s="194">
        <f>G8/C8</f>
        <v>0.8</v>
      </c>
      <c r="G8" s="657">
        <f>SUM(G4:G7)</f>
        <v>1949899.2851712001</v>
      </c>
    </row>
    <row r="9" spans="1:40" ht="16.3">
      <c r="B9" s="565"/>
      <c r="C9" s="196"/>
      <c r="D9" s="197"/>
      <c r="E9" s="103"/>
      <c r="F9" s="642"/>
      <c r="G9" s="565"/>
    </row>
    <row r="10" spans="1:40" ht="16.3">
      <c r="A10" s="643" t="s">
        <v>9</v>
      </c>
      <c r="B10" s="156"/>
      <c r="C10" s="198"/>
      <c r="D10" s="199"/>
      <c r="E10" s="180"/>
      <c r="F10" s="644"/>
      <c r="G10" s="645"/>
    </row>
    <row r="11" spans="1:40" ht="16.3">
      <c r="A11" s="646" t="str">
        <f>'Struttura Costi AZ. A'!A9</f>
        <v>PERSONALE</v>
      </c>
      <c r="B11" s="645"/>
      <c r="C11" s="653">
        <f>'Struttura Costi AZ. B'!B65*'Struttura Costi AZ. B'!F$51</f>
        <v>297874.2271734642</v>
      </c>
      <c r="D11" s="188">
        <f>'Struttura Costi AZ. B'!D65</f>
        <v>0.8</v>
      </c>
      <c r="E11" s="655">
        <f t="shared" ref="E11:E30" si="2">D11*C11</f>
        <v>238299.38173877136</v>
      </c>
      <c r="F11" s="627">
        <f>'Struttura Costi AZ. B'!F65</f>
        <v>0.2</v>
      </c>
      <c r="G11" s="656">
        <f t="shared" ref="G11:G30" si="3">F11*C11</f>
        <v>59574.845434692841</v>
      </c>
    </row>
    <row r="12" spans="1:40" ht="16.3">
      <c r="A12" s="646" t="str">
        <f>'Struttura Costi AZ. A'!A10</f>
        <v>TELEFONO</v>
      </c>
      <c r="B12" s="645"/>
      <c r="C12" s="653">
        <f>'Struttura Costi AZ. B'!B66*'Struttura Costi AZ. B'!F$51</f>
        <v>12587.69649382227</v>
      </c>
      <c r="D12" s="188">
        <f>'Struttura Costi AZ. B'!D66</f>
        <v>0.8</v>
      </c>
      <c r="E12" s="655">
        <f t="shared" si="2"/>
        <v>10070.157195057816</v>
      </c>
      <c r="F12" s="627">
        <f>'Struttura Costi AZ. B'!F66</f>
        <v>0.2</v>
      </c>
      <c r="G12" s="656">
        <f t="shared" si="3"/>
        <v>2517.5392987644541</v>
      </c>
    </row>
    <row r="13" spans="1:40" ht="16.3">
      <c r="A13" s="646" t="str">
        <f>'Struttura Costi AZ. A'!A11</f>
        <v>ACQUA</v>
      </c>
      <c r="B13" s="645"/>
      <c r="C13" s="653">
        <f>'Struttura Costi AZ. B'!B67*'Struttura Costi AZ. B'!F$51</f>
        <v>50882.166233491058</v>
      </c>
      <c r="D13" s="188">
        <f>'Struttura Costi AZ. B'!D67</f>
        <v>0.8</v>
      </c>
      <c r="E13" s="655">
        <f t="shared" si="2"/>
        <v>40705.732986792849</v>
      </c>
      <c r="F13" s="627">
        <f>'Struttura Costi AZ. B'!F67</f>
        <v>0.2</v>
      </c>
      <c r="G13" s="656">
        <f t="shared" si="3"/>
        <v>10176.433246698212</v>
      </c>
    </row>
    <row r="14" spans="1:40" ht="16.3">
      <c r="A14" s="646" t="str">
        <f>'Struttura Costi AZ. A'!A12</f>
        <v>GAS</v>
      </c>
      <c r="B14" s="645"/>
      <c r="C14" s="653">
        <f>'Struttura Costi AZ. B'!B68*'Struttura Costi AZ. B'!F$51</f>
        <v>30554.364846613593</v>
      </c>
      <c r="D14" s="188">
        <f>'Struttura Costi AZ. B'!D68</f>
        <v>0.8</v>
      </c>
      <c r="E14" s="655">
        <f t="shared" si="2"/>
        <v>24443.491877290875</v>
      </c>
      <c r="F14" s="627">
        <f>'Struttura Costi AZ. B'!F68</f>
        <v>0.2</v>
      </c>
      <c r="G14" s="656">
        <f t="shared" si="3"/>
        <v>6110.8729693227187</v>
      </c>
    </row>
    <row r="15" spans="1:40" ht="16.3">
      <c r="A15" s="646" t="str">
        <f>'Struttura Costi AZ. A'!A13</f>
        <v>ENERGIA</v>
      </c>
      <c r="B15" s="645"/>
      <c r="C15" s="653">
        <f>'Struttura Costi AZ. B'!B69*'Struttura Costi AZ. B'!F$51</f>
        <v>15690.756680869656</v>
      </c>
      <c r="D15" s="188">
        <f>'Struttura Costi AZ. B'!D69</f>
        <v>0.8</v>
      </c>
      <c r="E15" s="655">
        <f t="shared" si="2"/>
        <v>12552.605344695725</v>
      </c>
      <c r="F15" s="627">
        <f>'Struttura Costi AZ. B'!F69</f>
        <v>0.2</v>
      </c>
      <c r="G15" s="656">
        <f t="shared" si="3"/>
        <v>3138.1513361739312</v>
      </c>
    </row>
    <row r="16" spans="1:40" ht="16.3">
      <c r="A16" s="646" t="str">
        <f>'Struttura Costi AZ. A'!A14</f>
        <v>ALTRE UTENZE</v>
      </c>
      <c r="B16" s="645"/>
      <c r="C16" s="653">
        <f>'Struttura Costi AZ. B'!B70*'Struttura Costi AZ. B'!F$51</f>
        <v>18322.592865360573</v>
      </c>
      <c r="D16" s="188">
        <f>'Struttura Costi AZ. B'!D70</f>
        <v>0.8</v>
      </c>
      <c r="E16" s="655">
        <f t="shared" si="2"/>
        <v>14658.07429228846</v>
      </c>
      <c r="F16" s="627">
        <f>'Struttura Costi AZ. B'!F70</f>
        <v>0.2</v>
      </c>
      <c r="G16" s="656">
        <f t="shared" si="3"/>
        <v>3664.518573072115</v>
      </c>
    </row>
    <row r="17" spans="1:7" ht="16.3">
      <c r="A17" s="646" t="str">
        <f>'Struttura Costi AZ. A'!A15</f>
        <v>CONSULENZE FISCALI E LEGALI</v>
      </c>
      <c r="B17" s="645"/>
      <c r="C17" s="653">
        <f>'Struttura Costi AZ. B'!B71*'Struttura Costi AZ. B'!F$51</f>
        <v>4261.0681082233887</v>
      </c>
      <c r="D17" s="188">
        <f>'Struttura Costi AZ. B'!D71</f>
        <v>0.8</v>
      </c>
      <c r="E17" s="655">
        <f t="shared" si="2"/>
        <v>3408.8544865787112</v>
      </c>
      <c r="F17" s="627">
        <f>'Struttura Costi AZ. B'!F71</f>
        <v>0.2</v>
      </c>
      <c r="G17" s="656">
        <f t="shared" si="3"/>
        <v>852.2136216446778</v>
      </c>
    </row>
    <row r="18" spans="1:7" ht="16.3">
      <c r="A18" s="646" t="str">
        <f>'Struttura Costi AZ. A'!A16</f>
        <v>CONSULENZE TECNICHE</v>
      </c>
      <c r="B18" s="645"/>
      <c r="C18" s="653">
        <f>'Struttura Costi AZ. B'!B72*'Struttura Costi AZ. B'!F$51</f>
        <v>36394.53466553153</v>
      </c>
      <c r="D18" s="188">
        <f>'Struttura Costi AZ. B'!D72</f>
        <v>0.8</v>
      </c>
      <c r="E18" s="655">
        <f t="shared" si="2"/>
        <v>29115.627732425226</v>
      </c>
      <c r="F18" s="627">
        <f>'Struttura Costi AZ. B'!F72</f>
        <v>0.2</v>
      </c>
      <c r="G18" s="656">
        <f t="shared" si="3"/>
        <v>7278.9069331063065</v>
      </c>
    </row>
    <row r="19" spans="1:7" ht="16.3">
      <c r="A19" s="646" t="str">
        <f>'Struttura Costi AZ. A'!A17</f>
        <v>COMPENSI AMMINISTRATORI</v>
      </c>
      <c r="B19" s="645"/>
      <c r="C19" s="653">
        <f>'Struttura Costi AZ. B'!B73*'Struttura Costi AZ. B'!F$51</f>
        <v>60156.255645506666</v>
      </c>
      <c r="D19" s="188">
        <f>'Struttura Costi AZ. B'!D73</f>
        <v>0.8</v>
      </c>
      <c r="E19" s="655">
        <f t="shared" si="2"/>
        <v>48125.004516405337</v>
      </c>
      <c r="F19" s="627">
        <f>'Struttura Costi AZ. B'!F73</f>
        <v>0.2</v>
      </c>
      <c r="G19" s="656">
        <f t="shared" si="3"/>
        <v>12031.251129101334</v>
      </c>
    </row>
    <row r="20" spans="1:7" ht="16.3">
      <c r="A20" s="646" t="str">
        <f>'Struttura Costi AZ. A'!A18</f>
        <v>PROMOZIONE/PUBBL.</v>
      </c>
      <c r="B20" s="645"/>
      <c r="C20" s="653">
        <f>'Struttura Costi AZ. B'!B74*'Struttura Costi AZ. B'!F$51</f>
        <v>18798.829889220833</v>
      </c>
      <c r="D20" s="188">
        <f>'Struttura Costi AZ. B'!D74</f>
        <v>0.8</v>
      </c>
      <c r="E20" s="655">
        <f t="shared" si="2"/>
        <v>15039.063911376667</v>
      </c>
      <c r="F20" s="627">
        <f>'Struttura Costi AZ. B'!F74</f>
        <v>0.2</v>
      </c>
      <c r="G20" s="656">
        <f t="shared" si="3"/>
        <v>3759.7659778441666</v>
      </c>
    </row>
    <row r="21" spans="1:7" ht="16.3">
      <c r="A21" s="646" t="str">
        <f>'Struttura Costi AZ. A'!A19</f>
        <v>VIAGGI</v>
      </c>
      <c r="B21" s="645"/>
      <c r="C21" s="653">
        <f>'Struttura Costi AZ. B'!B75*'Struttura Costi AZ. B'!F$51</f>
        <v>13779.79295986406</v>
      </c>
      <c r="D21" s="188">
        <f>'Struttura Costi AZ. B'!D75</f>
        <v>0.8</v>
      </c>
      <c r="E21" s="655">
        <f t="shared" si="2"/>
        <v>11023.83436789125</v>
      </c>
      <c r="F21" s="627">
        <f>'Struttura Costi AZ. B'!F75</f>
        <v>0.2</v>
      </c>
      <c r="G21" s="656">
        <f t="shared" si="3"/>
        <v>2755.9585919728124</v>
      </c>
    </row>
    <row r="22" spans="1:7" ht="16.3">
      <c r="A22" s="646" t="str">
        <f>'Struttura Costi AZ. A'!A20</f>
        <v>FIERE</v>
      </c>
      <c r="B22" s="645"/>
      <c r="C22" s="653">
        <f>'Struttura Costi AZ. B'!B76*'Struttura Costi AZ. B'!F$51</f>
        <v>17774.168334725702</v>
      </c>
      <c r="D22" s="188">
        <f>'Struttura Costi AZ. B'!D76</f>
        <v>0.8</v>
      </c>
      <c r="E22" s="655">
        <f t="shared" si="2"/>
        <v>14219.334667780562</v>
      </c>
      <c r="F22" s="627">
        <f>'Struttura Costi AZ. B'!F76</f>
        <v>0.2</v>
      </c>
      <c r="G22" s="656">
        <f t="shared" si="3"/>
        <v>3554.8336669451405</v>
      </c>
    </row>
    <row r="23" spans="1:7" ht="16.3">
      <c r="A23" s="646" t="str">
        <f>'Struttura Costi AZ. A'!A21</f>
        <v>PROVVIGIONI E RIMBORSO SPESE</v>
      </c>
      <c r="B23" s="645"/>
      <c r="C23" s="653">
        <f>'Struttura Costi AZ. B'!B77*'Struttura Costi AZ. B'!F$51</f>
        <v>17796.225628462387</v>
      </c>
      <c r="D23" s="188">
        <f>'Struttura Costi AZ. B'!D77</f>
        <v>0.8</v>
      </c>
      <c r="E23" s="655">
        <f t="shared" si="2"/>
        <v>14236.980502769911</v>
      </c>
      <c r="F23" s="627">
        <f>'Struttura Costi AZ. B'!F77</f>
        <v>0.2</v>
      </c>
      <c r="G23" s="656">
        <f t="shared" si="3"/>
        <v>3559.2451256924778</v>
      </c>
    </row>
    <row r="24" spans="1:7" ht="16.3">
      <c r="A24" s="646" t="str">
        <f>'Struttura Costi AZ. A'!A22</f>
        <v>MANUTENZIONE</v>
      </c>
      <c r="B24" s="645"/>
      <c r="C24" s="653">
        <f>'Struttura Costi AZ. B'!B78*'Struttura Costi AZ. B'!F$51</f>
        <v>36845.70658287283</v>
      </c>
      <c r="D24" s="188">
        <f>'Struttura Costi AZ. B'!D78</f>
        <v>0.8</v>
      </c>
      <c r="E24" s="655">
        <f t="shared" si="2"/>
        <v>29476.565266298265</v>
      </c>
      <c r="F24" s="627">
        <f>'Struttura Costi AZ. B'!F78</f>
        <v>0.2</v>
      </c>
      <c r="G24" s="656">
        <f t="shared" si="3"/>
        <v>7369.1413165745662</v>
      </c>
    </row>
    <row r="25" spans="1:7" ht="16.3">
      <c r="A25" s="646" t="str">
        <f>'Struttura Costi AZ. A'!A23</f>
        <v>TRASPORTO</v>
      </c>
      <c r="B25" s="645"/>
      <c r="C25" s="653">
        <f>'Struttura Costi AZ. B'!B79*'Struttura Costi AZ. B'!F$51</f>
        <v>36143.88360034192</v>
      </c>
      <c r="D25" s="188">
        <f>'Struttura Costi AZ. B'!D79</f>
        <v>0.8</v>
      </c>
      <c r="E25" s="655">
        <f t="shared" si="2"/>
        <v>28915.106880273539</v>
      </c>
      <c r="F25" s="627">
        <f>'Struttura Costi AZ. B'!F79</f>
        <v>0.2</v>
      </c>
      <c r="G25" s="656">
        <f t="shared" si="3"/>
        <v>7228.7767200683847</v>
      </c>
    </row>
    <row r="26" spans="1:7" ht="16.3">
      <c r="A26" s="646" t="str">
        <f>'Struttura Costi AZ. A'!A24</f>
        <v>ASSICURAZIONI</v>
      </c>
      <c r="B26" s="645"/>
      <c r="C26" s="653">
        <f>'Struttura Costi AZ. B'!B80*'Struttura Costi AZ. B'!F$51</f>
        <v>55143.234341714444</v>
      </c>
      <c r="D26" s="188">
        <f>'Struttura Costi AZ. B'!D80</f>
        <v>0.8</v>
      </c>
      <c r="E26" s="655">
        <f t="shared" si="2"/>
        <v>44114.587473371561</v>
      </c>
      <c r="F26" s="627">
        <f>'Struttura Costi AZ. B'!F80</f>
        <v>0.2</v>
      </c>
      <c r="G26" s="656">
        <f t="shared" si="3"/>
        <v>11028.64686834289</v>
      </c>
    </row>
    <row r="27" spans="1:7" ht="16.3">
      <c r="A27" s="646" t="str">
        <f>'Struttura Costi AZ. A'!A25</f>
        <v>MATERIALE DI CONSUMO</v>
      </c>
      <c r="B27" s="645"/>
      <c r="C27" s="653">
        <f>'Struttura Costi AZ. B'!B81*'Struttura Costi AZ. B'!F$51</f>
        <v>61309.250545378876</v>
      </c>
      <c r="D27" s="188">
        <f>'Struttura Costi AZ. B'!D81</f>
        <v>0.8</v>
      </c>
      <c r="E27" s="655">
        <f t="shared" si="2"/>
        <v>49047.400436303105</v>
      </c>
      <c r="F27" s="627">
        <f>'Struttura Costi AZ. B'!F81</f>
        <v>0.2</v>
      </c>
      <c r="G27" s="656">
        <f t="shared" si="3"/>
        <v>12261.850109075776</v>
      </c>
    </row>
    <row r="28" spans="1:7" ht="16.3">
      <c r="A28" s="646" t="str">
        <f>'Struttura Costi AZ. A'!A26</f>
        <v>AMMORTAMENTO</v>
      </c>
      <c r="B28" s="645"/>
      <c r="C28" s="653">
        <f>'Struttura Costi AZ. B'!B82*'Struttura Costi AZ. B'!F$51</f>
        <v>279104.48283384799</v>
      </c>
      <c r="D28" s="188">
        <f>'Struttura Costi AZ. B'!D82</f>
        <v>0.8</v>
      </c>
      <c r="E28" s="655">
        <f t="shared" si="2"/>
        <v>223283.58626707841</v>
      </c>
      <c r="F28" s="627">
        <f>'Struttura Costi AZ. B'!F82</f>
        <v>0.2</v>
      </c>
      <c r="G28" s="656">
        <f t="shared" si="3"/>
        <v>55820.896566769603</v>
      </c>
    </row>
    <row r="29" spans="1:7" ht="16.3">
      <c r="A29" s="646" t="str">
        <f>'Struttura Costi AZ. A'!A27</f>
        <v>LOCAZIONE IMMOBILE</v>
      </c>
      <c r="B29" s="645"/>
      <c r="C29" s="653">
        <f>'Struttura Costi AZ. B'!B83*'Struttura Costi AZ. B'!F$51</f>
        <v>62149.442941937064</v>
      </c>
      <c r="D29" s="188">
        <f>'Struttura Costi AZ. B'!D83</f>
        <v>0.8</v>
      </c>
      <c r="E29" s="655">
        <f t="shared" si="2"/>
        <v>49719.554353549654</v>
      </c>
      <c r="F29" s="627">
        <f>'Struttura Costi AZ. B'!F83</f>
        <v>0.2</v>
      </c>
      <c r="G29" s="656">
        <f t="shared" si="3"/>
        <v>12429.888588387414</v>
      </c>
    </row>
    <row r="30" spans="1:7" ht="16.3">
      <c r="A30" s="646" t="str">
        <f>'Struttura Costi AZ. A'!A28</f>
        <v>SPESE GENERALI</v>
      </c>
      <c r="B30" s="645"/>
      <c r="C30" s="653">
        <f>'Struttura Costi AZ. B'!B84*'Struttura Costi AZ. B'!F$51</f>
        <v>8999.8771466981761</v>
      </c>
      <c r="D30" s="188">
        <f>'Struttura Costi AZ. B'!D84</f>
        <v>0.8</v>
      </c>
      <c r="E30" s="655">
        <f t="shared" si="2"/>
        <v>7199.9017173585416</v>
      </c>
      <c r="F30" s="627">
        <f>'Struttura Costi AZ. B'!F84</f>
        <v>0.2</v>
      </c>
      <c r="G30" s="656">
        <f t="shared" si="3"/>
        <v>1799.9754293396354</v>
      </c>
    </row>
    <row r="31" spans="1:7" ht="16.3">
      <c r="A31" s="646" t="str">
        <f>'Struttura Costi AZ. A'!A29</f>
        <v>TOTALE COSTI INDIRETTI</v>
      </c>
      <c r="B31" s="192"/>
      <c r="C31" s="654">
        <f>SUM(C11:C30)</f>
        <v>1134568.5575179472</v>
      </c>
      <c r="D31" s="193"/>
      <c r="E31" s="654">
        <f>SUM(E11:E30)</f>
        <v>907654.84601435775</v>
      </c>
      <c r="F31" s="193"/>
      <c r="G31" s="654">
        <f>SUM(G11:G30)</f>
        <v>226913.71150358944</v>
      </c>
    </row>
    <row r="32" spans="1:7" ht="16.3">
      <c r="B32" s="192"/>
      <c r="D32" s="201"/>
      <c r="E32" s="202"/>
      <c r="F32" s="203"/>
      <c r="G32" s="645"/>
    </row>
    <row r="33" spans="1:7" ht="16.3">
      <c r="A33" s="646" t="str">
        <f>'Struttura Costi AZ. A'!A30</f>
        <v>TOTALE COSTI</v>
      </c>
      <c r="B33" s="192"/>
      <c r="C33" s="654">
        <f>C8+C31</f>
        <v>3571942.6639819471</v>
      </c>
      <c r="D33" s="193">
        <f>E33/C33</f>
        <v>0.39058008443839032</v>
      </c>
      <c r="E33" s="654">
        <f>E8+E31</f>
        <v>1395129.6673071578</v>
      </c>
      <c r="F33" s="194">
        <f>G33/C33</f>
        <v>0.60941991556160979</v>
      </c>
      <c r="G33" s="654">
        <f>G8+G31</f>
        <v>2176812.9966747896</v>
      </c>
    </row>
    <row r="34" spans="1:7" ht="16.3">
      <c r="A34" s="647"/>
      <c r="B34" s="204"/>
      <c r="C34" s="205"/>
      <c r="D34" s="206"/>
      <c r="E34" s="207"/>
      <c r="F34" s="208"/>
      <c r="G34" s="207"/>
    </row>
    <row r="35" spans="1:7" ht="15.05">
      <c r="A35" s="776" t="s">
        <v>30</v>
      </c>
      <c r="B35" s="781"/>
      <c r="C35" s="658">
        <f>C33</f>
        <v>3571942.6639819471</v>
      </c>
      <c r="D35" s="648"/>
    </row>
    <row r="36" spans="1:7" ht="15.05">
      <c r="A36" s="776" t="s">
        <v>31</v>
      </c>
      <c r="B36" s="781"/>
      <c r="C36" s="658">
        <f>E33</f>
        <v>1395129.6673071578</v>
      </c>
      <c r="D36" s="648"/>
    </row>
    <row r="37" spans="1:7" ht="15.05">
      <c r="A37" s="776" t="s">
        <v>32</v>
      </c>
      <c r="B37" s="781"/>
      <c r="C37" s="658">
        <f>G33</f>
        <v>2176812.9966747896</v>
      </c>
      <c r="D37" s="648"/>
    </row>
    <row r="38" spans="1:7" ht="15.05">
      <c r="A38" s="776" t="s">
        <v>33</v>
      </c>
      <c r="B38" s="781"/>
      <c r="C38" s="658">
        <f>G33/C40</f>
        <v>0.61181216418401629</v>
      </c>
      <c r="D38" s="648"/>
    </row>
    <row r="39" spans="1:7" ht="15.05">
      <c r="A39" s="776" t="s">
        <v>34</v>
      </c>
      <c r="B39" s="781"/>
      <c r="C39" s="658">
        <f>'Scheda Ricavi'!B19</f>
        <v>2318583.2000000002</v>
      </c>
      <c r="D39" s="648"/>
    </row>
    <row r="40" spans="1:7" ht="15.05">
      <c r="A40" s="776" t="s">
        <v>225</v>
      </c>
      <c r="B40" s="781"/>
      <c r="C40" s="659">
        <f>'Struttura Ricavi'!B35+'Struttura Ricavi'!B40</f>
        <v>3557976</v>
      </c>
      <c r="D40" s="397"/>
    </row>
    <row r="41" spans="1:7" ht="15.05">
      <c r="A41" s="776" t="s">
        <v>226</v>
      </c>
      <c r="B41" s="781"/>
      <c r="C41" s="659">
        <f>'Struttura Ricavi'!B35+'Struttura Ricavi'!B40+'Struttura Ricavi'!B44+'Struttura Ricavi'!B45</f>
        <v>7583976</v>
      </c>
      <c r="D41" s="397"/>
    </row>
    <row r="42" spans="1:7" ht="15.05">
      <c r="A42" s="776" t="s">
        <v>223</v>
      </c>
      <c r="B42" s="783"/>
      <c r="C42" s="658">
        <f>C39/C40</f>
        <v>0.65165790887853103</v>
      </c>
      <c r="D42" s="397"/>
    </row>
    <row r="43" spans="1:7" ht="15.05">
      <c r="A43" s="777" t="s">
        <v>36</v>
      </c>
      <c r="B43" s="782"/>
      <c r="C43" s="658">
        <f>C36/(1-(C37/C39))</f>
        <v>22816671.857482921</v>
      </c>
      <c r="D43" s="649"/>
    </row>
    <row r="44" spans="1:7" ht="15.05">
      <c r="A44" s="777" t="s">
        <v>224</v>
      </c>
      <c r="B44" s="782"/>
      <c r="C44" s="660">
        <f>C36/(C42-C38)</f>
        <v>35013266.234655529</v>
      </c>
      <c r="D44" s="650"/>
    </row>
    <row r="45" spans="1:7" ht="15.05">
      <c r="A45" s="777" t="s">
        <v>240</v>
      </c>
      <c r="B45" s="784"/>
      <c r="C45" s="658">
        <f>C39-C37</f>
        <v>141770.2033252106</v>
      </c>
      <c r="D45" s="650"/>
    </row>
    <row r="46" spans="1:7" ht="15.05">
      <c r="A46" s="777" t="s">
        <v>7</v>
      </c>
      <c r="B46" s="782"/>
      <c r="C46" s="661">
        <f>1/(1-(C36/C45))</f>
        <v>-0.11311216566299659</v>
      </c>
      <c r="D46" s="565"/>
      <c r="E46" s="565"/>
    </row>
    <row r="47" spans="1:7" ht="15.05">
      <c r="A47" s="780" t="s">
        <v>254</v>
      </c>
      <c r="B47" s="784"/>
      <c r="C47" s="662">
        <f>IF(C44&lt;0,(C40+C44)/C40,(C40-C44)/C40)</f>
        <v>-8.8407820161393804</v>
      </c>
      <c r="D47" s="58"/>
    </row>
    <row r="48" spans="1:7" ht="13.15">
      <c r="A48" s="28"/>
      <c r="D48" s="58"/>
    </row>
    <row r="49" spans="1:40" ht="13.15">
      <c r="A49" s="28"/>
      <c r="D49" s="651"/>
      <c r="E49" s="651"/>
    </row>
    <row r="50" spans="1:40" s="12" customFormat="1" ht="13.8" thickBot="1">
      <c r="A50" s="774" t="s">
        <v>200</v>
      </c>
      <c r="B50" s="775"/>
      <c r="C50" s="775"/>
      <c r="D50" s="775"/>
      <c r="E50" s="775"/>
      <c r="F50" s="775"/>
      <c r="G50" s="775"/>
      <c r="H50" s="181"/>
      <c r="P50" s="181"/>
      <c r="X50" s="181"/>
      <c r="AF50" s="181"/>
      <c r="AN50" s="181"/>
    </row>
    <row r="51" spans="1:40" s="12" customFormat="1" ht="13.15">
      <c r="A51" s="153" t="s">
        <v>1</v>
      </c>
      <c r="B51" s="612"/>
      <c r="C51" s="613">
        <v>44926</v>
      </c>
      <c r="D51" s="184" t="s">
        <v>3</v>
      </c>
      <c r="E51" s="184" t="s">
        <v>27</v>
      </c>
      <c r="F51" s="184" t="s">
        <v>3</v>
      </c>
      <c r="G51" s="184" t="s">
        <v>28</v>
      </c>
      <c r="I51" s="778">
        <f>C51</f>
        <v>44926</v>
      </c>
      <c r="J51" s="779"/>
      <c r="K51" s="614" t="s">
        <v>55</v>
      </c>
      <c r="L51" s="615">
        <v>0</v>
      </c>
      <c r="M51" s="615">
        <v>20000000</v>
      </c>
      <c r="N51" s="616">
        <v>30000000</v>
      </c>
      <c r="O51" s="616">
        <v>40000000</v>
      </c>
      <c r="P51" s="615">
        <v>50000000</v>
      </c>
      <c r="Q51" s="616">
        <v>60000000</v>
      </c>
      <c r="R51" s="615">
        <v>70000000</v>
      </c>
      <c r="S51" s="616">
        <v>80000000</v>
      </c>
    </row>
    <row r="52" spans="1:40" s="12" customFormat="1" ht="15.05">
      <c r="A52" s="617" t="s">
        <v>29</v>
      </c>
      <c r="B52" s="156"/>
      <c r="C52" s="156"/>
      <c r="D52" s="618"/>
      <c r="E52" s="619"/>
      <c r="F52" s="620"/>
      <c r="G52" s="619"/>
      <c r="I52" s="621"/>
      <c r="J52" s="622"/>
      <c r="K52" s="623" t="s">
        <v>27</v>
      </c>
      <c r="L52" s="664">
        <f>M52</f>
        <v>1387881.9792856423</v>
      </c>
      <c r="M52" s="664">
        <f>E82</f>
        <v>1387881.9792856423</v>
      </c>
      <c r="N52" s="664">
        <f t="shared" ref="N52:S52" si="4">M52</f>
        <v>1387881.9792856423</v>
      </c>
      <c r="O52" s="664">
        <f t="shared" si="4"/>
        <v>1387881.9792856423</v>
      </c>
      <c r="P52" s="664">
        <f t="shared" si="4"/>
        <v>1387881.9792856423</v>
      </c>
      <c r="Q52" s="664">
        <f t="shared" si="4"/>
        <v>1387881.9792856423</v>
      </c>
      <c r="R52" s="664">
        <f t="shared" si="4"/>
        <v>1387881.9792856423</v>
      </c>
      <c r="S52" s="665">
        <f t="shared" si="4"/>
        <v>1387881.9792856423</v>
      </c>
    </row>
    <row r="53" spans="1:40" s="12" customFormat="1" ht="16.3">
      <c r="A53" s="624"/>
      <c r="B53" s="625"/>
      <c r="C53" s="187"/>
      <c r="D53" s="188"/>
      <c r="E53" s="626"/>
      <c r="F53" s="627"/>
      <c r="G53" s="628"/>
      <c r="I53" s="629" t="s">
        <v>52</v>
      </c>
      <c r="J53" s="663">
        <f>C87</f>
        <v>1.5607239421235395</v>
      </c>
      <c r="K53" s="630" t="s">
        <v>28</v>
      </c>
      <c r="L53" s="666">
        <v>0</v>
      </c>
      <c r="M53" s="666">
        <f>M51*J53</f>
        <v>31214478.842470791</v>
      </c>
      <c r="N53" s="666">
        <f>N51*J53</f>
        <v>46821718.263706185</v>
      </c>
      <c r="O53" s="666">
        <f>O51*J53</f>
        <v>62428957.684941582</v>
      </c>
      <c r="P53" s="666">
        <f>P51*J53</f>
        <v>78036197.106176972</v>
      </c>
      <c r="Q53" s="666">
        <f>Q51*J53</f>
        <v>93643436.52741237</v>
      </c>
      <c r="R53" s="666">
        <f>R51*J53</f>
        <v>109250675.94864777</v>
      </c>
      <c r="S53" s="667">
        <f>S51*J53</f>
        <v>124857915.36988316</v>
      </c>
    </row>
    <row r="54" spans="1:40" s="12" customFormat="1" ht="16.3">
      <c r="A54" s="672" t="s">
        <v>69</v>
      </c>
      <c r="B54" s="625"/>
      <c r="C54" s="653">
        <f>'Struttura Costi AZ. B'!B5</f>
        <v>2424711.9665000001</v>
      </c>
      <c r="D54" s="188">
        <f>'Struttura Costi AZ. B'!D61</f>
        <v>0.2</v>
      </c>
      <c r="E54" s="655">
        <f>D54*C54</f>
        <v>484942.39330000005</v>
      </c>
      <c r="F54" s="627">
        <f>'Struttura Costi AZ. B'!F61</f>
        <v>0.8</v>
      </c>
      <c r="G54" s="656">
        <f>F54*C54</f>
        <v>1939769.5732000002</v>
      </c>
      <c r="I54" s="629" t="s">
        <v>53</v>
      </c>
      <c r="J54" s="632">
        <f>C89</f>
        <v>1387500</v>
      </c>
      <c r="K54" s="633" t="s">
        <v>56</v>
      </c>
      <c r="L54" s="668">
        <f t="shared" ref="L54:S54" si="5">L52+L53</f>
        <v>1387881.9792856423</v>
      </c>
      <c r="M54" s="668">
        <f t="shared" si="5"/>
        <v>32602360.821756434</v>
      </c>
      <c r="N54" s="668">
        <f t="shared" si="5"/>
        <v>48209600.242991827</v>
      </c>
      <c r="O54" s="668">
        <f t="shared" si="5"/>
        <v>63816839.664227225</v>
      </c>
      <c r="P54" s="668">
        <f t="shared" si="5"/>
        <v>79424079.085462615</v>
      </c>
      <c r="Q54" s="668">
        <f t="shared" si="5"/>
        <v>95031318.506698012</v>
      </c>
      <c r="R54" s="668">
        <f t="shared" si="5"/>
        <v>110638557.92793341</v>
      </c>
      <c r="S54" s="669">
        <f t="shared" si="5"/>
        <v>126245797.34916881</v>
      </c>
    </row>
    <row r="55" spans="1:40" s="12" customFormat="1" ht="16.3">
      <c r="A55" s="634"/>
      <c r="B55" s="625"/>
      <c r="C55" s="653"/>
      <c r="D55" s="188"/>
      <c r="E55" s="655"/>
      <c r="F55" s="627"/>
      <c r="G55" s="656"/>
      <c r="I55" s="635" t="s">
        <v>54</v>
      </c>
      <c r="J55" s="663">
        <f>C88/C89</f>
        <v>0.77709909909909913</v>
      </c>
      <c r="K55" s="636" t="s">
        <v>57</v>
      </c>
      <c r="L55" s="670">
        <v>0</v>
      </c>
      <c r="M55" s="670">
        <f>J55*M51</f>
        <v>15541981.981981983</v>
      </c>
      <c r="N55" s="670">
        <f>J55*N51</f>
        <v>23312972.972972974</v>
      </c>
      <c r="O55" s="670">
        <f>J55*O51</f>
        <v>31083963.963963967</v>
      </c>
      <c r="P55" s="670">
        <f>J55*P51</f>
        <v>38854954.954954959</v>
      </c>
      <c r="Q55" s="670">
        <f>J55*Q51</f>
        <v>46625945.945945948</v>
      </c>
      <c r="R55" s="670">
        <f>J55*R51</f>
        <v>54396936.936936937</v>
      </c>
      <c r="S55" s="671">
        <f>J55*S51</f>
        <v>62167927.927927934</v>
      </c>
    </row>
    <row r="56" spans="1:40" s="12" customFormat="1" ht="16.899999999999999" thickBot="1">
      <c r="A56" s="637"/>
      <c r="B56" s="625"/>
      <c r="C56" s="653"/>
      <c r="D56" s="188"/>
      <c r="E56" s="655"/>
      <c r="F56" s="627"/>
      <c r="G56" s="656"/>
      <c r="I56" s="189"/>
      <c r="J56" s="190"/>
      <c r="K56" s="190"/>
      <c r="L56" s="190"/>
      <c r="M56" s="190"/>
      <c r="N56" s="190"/>
      <c r="O56" s="190"/>
      <c r="P56" s="190"/>
      <c r="Q56" s="190"/>
      <c r="R56" s="190"/>
      <c r="S56" s="191"/>
    </row>
    <row r="57" spans="1:40" s="12" customFormat="1" ht="16.3">
      <c r="A57" s="641" t="s">
        <v>49</v>
      </c>
      <c r="B57" s="192"/>
      <c r="C57" s="654">
        <f>SUM(C53:C56)</f>
        <v>2424711.9665000001</v>
      </c>
      <c r="D57" s="193">
        <f>E57/C57</f>
        <v>0.2</v>
      </c>
      <c r="E57" s="654">
        <f>SUM(E53:E56)</f>
        <v>484942.39330000005</v>
      </c>
      <c r="F57" s="194">
        <f>G57/C57</f>
        <v>0.8</v>
      </c>
      <c r="G57" s="657">
        <f>SUM(G53:G56)</f>
        <v>1939769.5732000002</v>
      </c>
    </row>
    <row r="58" spans="1:40" s="12" customFormat="1" ht="16.3">
      <c r="A58" s="58"/>
      <c r="B58" s="565"/>
      <c r="C58" s="196"/>
      <c r="D58" s="197"/>
      <c r="E58" s="103"/>
      <c r="F58" s="642"/>
      <c r="G58" s="565"/>
    </row>
    <row r="59" spans="1:40" s="12" customFormat="1" ht="16.3">
      <c r="A59" s="643" t="s">
        <v>9</v>
      </c>
      <c r="B59" s="156"/>
      <c r="C59" s="198"/>
      <c r="D59" s="199"/>
      <c r="E59" s="180"/>
      <c r="F59" s="644"/>
      <c r="G59" s="645"/>
    </row>
    <row r="60" spans="1:40" s="12" customFormat="1" ht="16.3">
      <c r="A60" s="646" t="str">
        <f t="shared" ref="A60:A80" si="6">A11</f>
        <v>PERSONALE</v>
      </c>
      <c r="B60" s="645"/>
      <c r="C60" s="653">
        <f>'Struttura Costi AZ. B'!B65*'Struttura Costi AZ. B'!F$52</f>
        <v>296326.77282653574</v>
      </c>
      <c r="D60" s="188">
        <f>'Struttura Costi AZ. B'!D65</f>
        <v>0.8</v>
      </c>
      <c r="E60" s="655">
        <f t="shared" ref="E60:E79" si="7">D60*C60</f>
        <v>237061.41826122859</v>
      </c>
      <c r="F60" s="627">
        <f>'Struttura Costi AZ. B'!F65</f>
        <v>0.2</v>
      </c>
      <c r="G60" s="656">
        <f t="shared" ref="G60:G79" si="8">F60*C60</f>
        <v>59265.354565307149</v>
      </c>
    </row>
    <row r="61" spans="1:40" s="12" customFormat="1" ht="16.3">
      <c r="A61" s="646" t="str">
        <f t="shared" si="6"/>
        <v>TELEFONO</v>
      </c>
      <c r="B61" s="645"/>
      <c r="C61" s="653">
        <f>'Struttura Costi AZ. B'!B66*'Struttura Costi AZ. B'!F$52</f>
        <v>12522.303506177728</v>
      </c>
      <c r="D61" s="188">
        <f>'Struttura Costi AZ. B'!D66</f>
        <v>0.8</v>
      </c>
      <c r="E61" s="655">
        <f t="shared" si="7"/>
        <v>10017.842804942184</v>
      </c>
      <c r="F61" s="627">
        <f>'Struttura Costi AZ. B'!F66</f>
        <v>0.2</v>
      </c>
      <c r="G61" s="656">
        <f t="shared" si="8"/>
        <v>2504.4607012355459</v>
      </c>
    </row>
    <row r="62" spans="1:40" s="12" customFormat="1" ht="16.3">
      <c r="A62" s="646" t="str">
        <f t="shared" si="6"/>
        <v>ACQUA</v>
      </c>
      <c r="B62" s="645"/>
      <c r="C62" s="653">
        <f>'Struttura Costi AZ. B'!B67*'Struttura Costi AZ. B'!F$52</f>
        <v>50617.833766508942</v>
      </c>
      <c r="D62" s="188">
        <f>'Struttura Costi AZ. B'!D67</f>
        <v>0.8</v>
      </c>
      <c r="E62" s="655">
        <f t="shared" si="7"/>
        <v>40494.267013207158</v>
      </c>
      <c r="F62" s="627">
        <f>'Struttura Costi AZ. B'!F67</f>
        <v>0.2</v>
      </c>
      <c r="G62" s="656">
        <f t="shared" si="8"/>
        <v>10123.56675330179</v>
      </c>
    </row>
    <row r="63" spans="1:40" s="12" customFormat="1" ht="16.3">
      <c r="A63" s="646" t="str">
        <f t="shared" si="6"/>
        <v>GAS</v>
      </c>
      <c r="B63" s="645"/>
      <c r="C63" s="653">
        <f>'Struttura Costi AZ. B'!B68*'Struttura Costi AZ. B'!F$52</f>
        <v>30395.635153386404</v>
      </c>
      <c r="D63" s="188">
        <f>'Struttura Costi AZ. B'!D68</f>
        <v>0.8</v>
      </c>
      <c r="E63" s="655">
        <f t="shared" si="7"/>
        <v>24316.508122709125</v>
      </c>
      <c r="F63" s="627">
        <f>'Struttura Costi AZ. B'!F68</f>
        <v>0.2</v>
      </c>
      <c r="G63" s="656">
        <f t="shared" si="8"/>
        <v>6079.1270306772813</v>
      </c>
    </row>
    <row r="64" spans="1:40" s="12" customFormat="1" ht="16.3">
      <c r="A64" s="646" t="str">
        <f t="shared" si="6"/>
        <v>ENERGIA</v>
      </c>
      <c r="B64" s="645"/>
      <c r="C64" s="653">
        <f>'Struttura Costi AZ. B'!B69*'Struttura Costi AZ. B'!F$52</f>
        <v>15609.243319130343</v>
      </c>
      <c r="D64" s="188">
        <f>'Struttura Costi AZ. B'!D69</f>
        <v>0.8</v>
      </c>
      <c r="E64" s="655">
        <f t="shared" si="7"/>
        <v>12487.394655304275</v>
      </c>
      <c r="F64" s="627">
        <f>'Struttura Costi AZ. B'!F69</f>
        <v>0.2</v>
      </c>
      <c r="G64" s="656">
        <f t="shared" si="8"/>
        <v>3121.8486638260688</v>
      </c>
    </row>
    <row r="65" spans="1:7" s="12" customFormat="1" ht="16.3">
      <c r="A65" s="646" t="str">
        <f t="shared" si="6"/>
        <v>ALTRE UTENZE</v>
      </c>
      <c r="B65" s="645"/>
      <c r="C65" s="653">
        <f>'Struttura Costi AZ. B'!B70*'Struttura Costi AZ. B'!F$52</f>
        <v>18227.407134639427</v>
      </c>
      <c r="D65" s="188">
        <f>'Struttura Costi AZ. B'!D70</f>
        <v>0.8</v>
      </c>
      <c r="E65" s="655">
        <f t="shared" si="7"/>
        <v>14581.925707711542</v>
      </c>
      <c r="F65" s="627">
        <f>'Struttura Costi AZ. B'!F70</f>
        <v>0.2</v>
      </c>
      <c r="G65" s="656">
        <f t="shared" si="8"/>
        <v>3645.4814269278854</v>
      </c>
    </row>
    <row r="66" spans="1:7" s="12" customFormat="1" ht="16.3">
      <c r="A66" s="646" t="str">
        <f t="shared" si="6"/>
        <v>CONSULENZE FISCALI E LEGALI</v>
      </c>
      <c r="B66" s="645"/>
      <c r="C66" s="653">
        <f>'Struttura Costi AZ. B'!B71*'Struttura Costi AZ. B'!F$52</f>
        <v>4238.9318917766104</v>
      </c>
      <c r="D66" s="188">
        <f>'Struttura Costi AZ. B'!D71</f>
        <v>0.8</v>
      </c>
      <c r="E66" s="655">
        <f t="shared" si="7"/>
        <v>3391.1455134212883</v>
      </c>
      <c r="F66" s="627">
        <f>'Struttura Costi AZ. B'!F71</f>
        <v>0.2</v>
      </c>
      <c r="G66" s="656">
        <f t="shared" si="8"/>
        <v>847.78637835532209</v>
      </c>
    </row>
    <row r="67" spans="1:7" s="12" customFormat="1" ht="16.3">
      <c r="A67" s="646" t="str">
        <f t="shared" si="6"/>
        <v>CONSULENZE TECNICHE</v>
      </c>
      <c r="B67" s="645"/>
      <c r="C67" s="653">
        <f>'Struttura Costi AZ. B'!B72*'Struttura Costi AZ. B'!F$52</f>
        <v>36205.465334468463</v>
      </c>
      <c r="D67" s="188">
        <f>'Struttura Costi AZ. B'!D72</f>
        <v>0.8</v>
      </c>
      <c r="E67" s="655">
        <f t="shared" si="7"/>
        <v>28964.37226757477</v>
      </c>
      <c r="F67" s="627">
        <f>'Struttura Costi AZ. B'!F72</f>
        <v>0.2</v>
      </c>
      <c r="G67" s="656">
        <f t="shared" si="8"/>
        <v>7241.0930668936926</v>
      </c>
    </row>
    <row r="68" spans="1:7" s="12" customFormat="1" ht="16.3">
      <c r="A68" s="646" t="str">
        <f t="shared" si="6"/>
        <v>COMPENSI AMMINISTRATORI</v>
      </c>
      <c r="B68" s="645"/>
      <c r="C68" s="653">
        <f>'Struttura Costi AZ. B'!B73*'Struttura Costi AZ. B'!F$52</f>
        <v>59843.744354493327</v>
      </c>
      <c r="D68" s="188">
        <f>'Struttura Costi AZ. B'!D73</f>
        <v>0.8</v>
      </c>
      <c r="E68" s="655">
        <f t="shared" si="7"/>
        <v>47874.995483594663</v>
      </c>
      <c r="F68" s="627">
        <f>'Struttura Costi AZ. B'!F73</f>
        <v>0.2</v>
      </c>
      <c r="G68" s="656">
        <f t="shared" si="8"/>
        <v>11968.748870898666</v>
      </c>
    </row>
    <row r="69" spans="1:7" s="12" customFormat="1" ht="16.3">
      <c r="A69" s="646" t="str">
        <f t="shared" si="6"/>
        <v>PROMOZIONE/PUBBL.</v>
      </c>
      <c r="B69" s="645"/>
      <c r="C69" s="653">
        <f>'Struttura Costi AZ. B'!B74*'Struttura Costi AZ. B'!F$52</f>
        <v>18701.170110779163</v>
      </c>
      <c r="D69" s="188">
        <f>'Struttura Costi AZ. B'!D74</f>
        <v>0.8</v>
      </c>
      <c r="E69" s="655">
        <f t="shared" si="7"/>
        <v>14960.936088623332</v>
      </c>
      <c r="F69" s="627">
        <f>'Struttura Costi AZ. B'!F74</f>
        <v>0.2</v>
      </c>
      <c r="G69" s="656">
        <f t="shared" si="8"/>
        <v>3740.2340221558329</v>
      </c>
    </row>
    <row r="70" spans="1:7" s="12" customFormat="1" ht="16.3">
      <c r="A70" s="646" t="str">
        <f t="shared" si="6"/>
        <v>VIAGGI</v>
      </c>
      <c r="B70" s="645"/>
      <c r="C70" s="653">
        <f>'Struttura Costi AZ. B'!B75*'Struttura Costi AZ. B'!F$52</f>
        <v>13708.207040135938</v>
      </c>
      <c r="D70" s="188">
        <f>'Struttura Costi AZ. B'!D75</f>
        <v>0.8</v>
      </c>
      <c r="E70" s="655">
        <f t="shared" si="7"/>
        <v>10966.565632108752</v>
      </c>
      <c r="F70" s="627">
        <f>'Struttura Costi AZ. B'!F75</f>
        <v>0.2</v>
      </c>
      <c r="G70" s="656">
        <f t="shared" si="8"/>
        <v>2741.6414080271879</v>
      </c>
    </row>
    <row r="71" spans="1:7" s="12" customFormat="1" ht="16.3">
      <c r="A71" s="646" t="str">
        <f t="shared" si="6"/>
        <v>FIERE</v>
      </c>
      <c r="B71" s="645"/>
      <c r="C71" s="653">
        <f>'Struttura Costi AZ. B'!B76*'Struttura Costi AZ. B'!F$52</f>
        <v>17681.831665274294</v>
      </c>
      <c r="D71" s="188">
        <f>'Struttura Costi AZ. B'!D76</f>
        <v>0.8</v>
      </c>
      <c r="E71" s="655">
        <f t="shared" si="7"/>
        <v>14145.465332219435</v>
      </c>
      <c r="F71" s="627">
        <f>'Struttura Costi AZ. B'!F76</f>
        <v>0.2</v>
      </c>
      <c r="G71" s="656">
        <f t="shared" si="8"/>
        <v>3536.3663330548588</v>
      </c>
    </row>
    <row r="72" spans="1:7" s="12" customFormat="1" ht="16.3">
      <c r="A72" s="646" t="str">
        <f t="shared" si="6"/>
        <v>PROVVIGIONI E RIMBORSO SPESE</v>
      </c>
      <c r="B72" s="645"/>
      <c r="C72" s="653">
        <f>'Struttura Costi AZ. B'!B77*'Struttura Costi AZ. B'!F$52</f>
        <v>17703.774371537609</v>
      </c>
      <c r="D72" s="188">
        <f>'Struttura Costi AZ. B'!D77</f>
        <v>0.8</v>
      </c>
      <c r="E72" s="655">
        <f t="shared" si="7"/>
        <v>14163.019497230089</v>
      </c>
      <c r="F72" s="627">
        <f>'Struttura Costi AZ. B'!F77</f>
        <v>0.2</v>
      </c>
      <c r="G72" s="656">
        <f t="shared" si="8"/>
        <v>3540.7548743075222</v>
      </c>
    </row>
    <row r="73" spans="1:7" s="12" customFormat="1" ht="16.3">
      <c r="A73" s="646" t="str">
        <f t="shared" si="6"/>
        <v>MANUTENZIONE</v>
      </c>
      <c r="B73" s="645"/>
      <c r="C73" s="653">
        <f>'Struttura Costi AZ. B'!B78*'Struttura Costi AZ. B'!F$52</f>
        <v>36654.293417127163</v>
      </c>
      <c r="D73" s="188">
        <f>'Struttura Costi AZ. B'!D78</f>
        <v>0.8</v>
      </c>
      <c r="E73" s="655">
        <f t="shared" si="7"/>
        <v>29323.434733701732</v>
      </c>
      <c r="F73" s="627">
        <f>'Struttura Costi AZ. B'!F78</f>
        <v>0.2</v>
      </c>
      <c r="G73" s="656">
        <f t="shared" si="8"/>
        <v>7330.8586834254329</v>
      </c>
    </row>
    <row r="74" spans="1:7" s="12" customFormat="1" ht="16.3">
      <c r="A74" s="646" t="str">
        <f t="shared" si="6"/>
        <v>TRASPORTO</v>
      </c>
      <c r="B74" s="645"/>
      <c r="C74" s="653">
        <f>'Struttura Costi AZ. B'!B79*'Struttura Costi AZ. B'!F$52</f>
        <v>35956.116399658073</v>
      </c>
      <c r="D74" s="188">
        <f>'Struttura Costi AZ. B'!D79</f>
        <v>0.8</v>
      </c>
      <c r="E74" s="655">
        <f t="shared" si="7"/>
        <v>28764.893119726461</v>
      </c>
      <c r="F74" s="627">
        <f>'Struttura Costi AZ. B'!F79</f>
        <v>0.2</v>
      </c>
      <c r="G74" s="656">
        <f t="shared" si="8"/>
        <v>7191.2232799316153</v>
      </c>
    </row>
    <row r="75" spans="1:7" s="12" customFormat="1" ht="16.3">
      <c r="A75" s="646" t="str">
        <f t="shared" si="6"/>
        <v>ASSICURAZIONI</v>
      </c>
      <c r="B75" s="645"/>
      <c r="C75" s="653">
        <f>'Struttura Costi AZ. B'!B80*'Struttura Costi AZ. B'!F$52</f>
        <v>54856.765658285549</v>
      </c>
      <c r="D75" s="188">
        <f>'Struttura Costi AZ. B'!D80</f>
        <v>0.8</v>
      </c>
      <c r="E75" s="655">
        <f t="shared" si="7"/>
        <v>43885.412526628439</v>
      </c>
      <c r="F75" s="627">
        <f>'Struttura Costi AZ. B'!F80</f>
        <v>0.2</v>
      </c>
      <c r="G75" s="656">
        <f t="shared" si="8"/>
        <v>10971.35313165711</v>
      </c>
    </row>
    <row r="76" spans="1:7" s="12" customFormat="1" ht="16.3">
      <c r="A76" s="646" t="str">
        <f t="shared" si="6"/>
        <v>MATERIALE DI CONSUMO</v>
      </c>
      <c r="B76" s="645"/>
      <c r="C76" s="653">
        <f>'Struttura Costi AZ. B'!B81*'Struttura Costi AZ. B'!F$52</f>
        <v>60990.749454621116</v>
      </c>
      <c r="D76" s="188">
        <f>'Struttura Costi AZ. B'!D81</f>
        <v>0.8</v>
      </c>
      <c r="E76" s="655">
        <f t="shared" si="7"/>
        <v>48792.599563696895</v>
      </c>
      <c r="F76" s="627">
        <f>'Struttura Costi AZ. B'!F81</f>
        <v>0.2</v>
      </c>
      <c r="G76" s="656">
        <f t="shared" si="8"/>
        <v>12198.149890924224</v>
      </c>
    </row>
    <row r="77" spans="1:7" s="12" customFormat="1" ht="16.3">
      <c r="A77" s="646" t="str">
        <f t="shared" si="6"/>
        <v>AMMORTAMENTO</v>
      </c>
      <c r="B77" s="645"/>
      <c r="C77" s="653">
        <f>'Struttura Costi AZ. B'!B82*'Struttura Costi AZ. B'!F$52</f>
        <v>277654.53716615197</v>
      </c>
      <c r="D77" s="188">
        <f>'Struttura Costi AZ. B'!D82</f>
        <v>0.8</v>
      </c>
      <c r="E77" s="655">
        <f t="shared" si="7"/>
        <v>222123.6297329216</v>
      </c>
      <c r="F77" s="627">
        <f>'Struttura Costi AZ. B'!F82</f>
        <v>0.2</v>
      </c>
      <c r="G77" s="656">
        <f t="shared" si="8"/>
        <v>55530.907433230401</v>
      </c>
    </row>
    <row r="78" spans="1:7" s="12" customFormat="1" ht="16.3">
      <c r="A78" s="646" t="str">
        <f t="shared" si="6"/>
        <v>LOCAZIONE IMMOBILE</v>
      </c>
      <c r="B78" s="645"/>
      <c r="C78" s="653">
        <f>'Struttura Costi AZ. B'!B83*'Struttura Costi AZ. B'!F$52</f>
        <v>61826.577058062932</v>
      </c>
      <c r="D78" s="188">
        <f>'Struttura Costi AZ. B'!D83</f>
        <v>0.8</v>
      </c>
      <c r="E78" s="655">
        <f t="shared" si="7"/>
        <v>49461.261646450352</v>
      </c>
      <c r="F78" s="627">
        <f>'Struttura Costi AZ. B'!F83</f>
        <v>0.2</v>
      </c>
      <c r="G78" s="656">
        <f>F78*C78</f>
        <v>12365.315411612588</v>
      </c>
    </row>
    <row r="79" spans="1:7" s="12" customFormat="1" ht="16.3">
      <c r="A79" s="646" t="str">
        <f t="shared" si="6"/>
        <v>SPESE GENERALI</v>
      </c>
      <c r="B79" s="645"/>
      <c r="C79" s="653">
        <f>'Struttura Costi AZ. B'!B84*'Struttura Costi AZ. B'!F$52</f>
        <v>8953.122853301822</v>
      </c>
      <c r="D79" s="188">
        <f>'Struttura Costi AZ. B'!D84</f>
        <v>0.8</v>
      </c>
      <c r="E79" s="655">
        <f t="shared" si="7"/>
        <v>7162.498282641458</v>
      </c>
      <c r="F79" s="627">
        <f>'Struttura Costi AZ. B'!F84</f>
        <v>0.2</v>
      </c>
      <c r="G79" s="656">
        <f t="shared" si="8"/>
        <v>1790.6245706603645</v>
      </c>
    </row>
    <row r="80" spans="1:7" s="12" customFormat="1" ht="16.3">
      <c r="A80" s="673" t="str">
        <f t="shared" si="6"/>
        <v>TOTALE COSTI INDIRETTI</v>
      </c>
      <c r="B80" s="192"/>
      <c r="C80" s="654">
        <f>SUM(C60:C79)</f>
        <v>1128674.4824820529</v>
      </c>
      <c r="D80" s="193"/>
      <c r="E80" s="654">
        <f>SUM(E60:E79)</f>
        <v>902939.58598564216</v>
      </c>
      <c r="F80" s="193"/>
      <c r="G80" s="654">
        <f>SUM(G60:G79)</f>
        <v>225734.89649641054</v>
      </c>
    </row>
    <row r="81" spans="1:7" s="12" customFormat="1" ht="16.3">
      <c r="A81" s="28"/>
      <c r="B81" s="192"/>
      <c r="C81" s="58"/>
      <c r="D81" s="201"/>
      <c r="E81" s="202"/>
      <c r="F81" s="203"/>
      <c r="G81" s="645"/>
    </row>
    <row r="82" spans="1:7" s="12" customFormat="1" ht="16.3">
      <c r="A82" s="673" t="str">
        <f>A33</f>
        <v>TOTALE COSTI</v>
      </c>
      <c r="B82" s="192"/>
      <c r="C82" s="654">
        <f>C57+C80</f>
        <v>3553386.448982053</v>
      </c>
      <c r="D82" s="193">
        <f>E82/C82</f>
        <v>0.39058008443839032</v>
      </c>
      <c r="E82" s="654">
        <f>E57+E80</f>
        <v>1387881.9792856423</v>
      </c>
      <c r="F82" s="194">
        <f>G82/C82</f>
        <v>0.60941991556160968</v>
      </c>
      <c r="G82" s="654">
        <f>G57+G80</f>
        <v>2165504.4696964109</v>
      </c>
    </row>
    <row r="83" spans="1:7" s="12" customFormat="1" ht="16.3">
      <c r="A83" s="647"/>
      <c r="B83" s="204"/>
      <c r="C83" s="205"/>
      <c r="D83" s="206"/>
      <c r="E83" s="207"/>
      <c r="F83" s="208"/>
      <c r="G83" s="207"/>
    </row>
    <row r="84" spans="1:7" s="12" customFormat="1" ht="15.05">
      <c r="A84" s="776" t="s">
        <v>30</v>
      </c>
      <c r="B84" s="776"/>
      <c r="C84" s="658">
        <f>C82</f>
        <v>3553386.448982053</v>
      </c>
      <c r="D84" s="648"/>
      <c r="E84" s="58"/>
      <c r="F84" s="371"/>
      <c r="G84" s="58"/>
    </row>
    <row r="85" spans="1:7" s="12" customFormat="1" ht="15.05">
      <c r="A85" s="776" t="s">
        <v>31</v>
      </c>
      <c r="B85" s="776"/>
      <c r="C85" s="658">
        <f>E82</f>
        <v>1387881.9792856423</v>
      </c>
      <c r="D85" s="648"/>
      <c r="E85" s="58"/>
      <c r="F85" s="371"/>
      <c r="G85" s="58"/>
    </row>
    <row r="86" spans="1:7" s="12" customFormat="1" ht="15.05">
      <c r="A86" s="776" t="s">
        <v>32</v>
      </c>
      <c r="B86" s="776"/>
      <c r="C86" s="658">
        <f>G82</f>
        <v>2165504.4696964109</v>
      </c>
      <c r="D86" s="648"/>
      <c r="E86" s="58"/>
      <c r="F86" s="371"/>
      <c r="G86" s="58"/>
    </row>
    <row r="87" spans="1:7" s="12" customFormat="1" ht="15.05">
      <c r="A87" s="776" t="s">
        <v>33</v>
      </c>
      <c r="B87" s="776"/>
      <c r="C87" s="658">
        <f>G82/C89</f>
        <v>1.5607239421235395</v>
      </c>
      <c r="D87" s="648"/>
      <c r="E87" s="58"/>
      <c r="F87" s="371"/>
      <c r="G87" s="58"/>
    </row>
    <row r="88" spans="1:7" s="12" customFormat="1" ht="15.05">
      <c r="A88" s="776" t="s">
        <v>34</v>
      </c>
      <c r="B88" s="776"/>
      <c r="C88" s="658">
        <f>'Scheda Ricavi'!B23</f>
        <v>1078225</v>
      </c>
      <c r="D88" s="648"/>
      <c r="E88" s="58"/>
      <c r="F88" s="371"/>
      <c r="G88" s="58"/>
    </row>
    <row r="89" spans="1:7" s="12" customFormat="1" ht="15.05">
      <c r="A89" s="776" t="s">
        <v>35</v>
      </c>
      <c r="B89" s="776"/>
      <c r="C89" s="659">
        <f>'Struttura Ricavi'!B49+'Struttura Ricavi'!B54</f>
        <v>1387500</v>
      </c>
      <c r="D89" s="397"/>
      <c r="E89" s="58"/>
      <c r="F89" s="371"/>
      <c r="G89" s="58"/>
    </row>
    <row r="90" spans="1:7" s="12" customFormat="1" ht="15.05">
      <c r="A90" s="776" t="s">
        <v>159</v>
      </c>
      <c r="B90" s="776"/>
      <c r="C90" s="659">
        <f>'Struttura Ricavi'!B49+'Struttura Ricavi'!B54+'Struttura Ricavi'!B58+'Struttura Ricavi'!B59</f>
        <v>5259500</v>
      </c>
      <c r="D90" s="397"/>
      <c r="E90" s="58"/>
      <c r="F90" s="371"/>
      <c r="G90" s="58"/>
    </row>
    <row r="91" spans="1:7" s="12" customFormat="1" ht="15.05">
      <c r="A91" s="776" t="s">
        <v>223</v>
      </c>
      <c r="B91" s="776"/>
      <c r="C91" s="658">
        <f>C88/C89</f>
        <v>0.77709909909909913</v>
      </c>
      <c r="D91" s="397"/>
      <c r="E91" s="58"/>
      <c r="F91" s="371"/>
      <c r="G91" s="58"/>
    </row>
    <row r="92" spans="1:7" s="12" customFormat="1" ht="15.05">
      <c r="A92" s="777" t="s">
        <v>36</v>
      </c>
      <c r="B92" s="777"/>
      <c r="C92" s="658">
        <f>C85/(1-(C86/C88))</f>
        <v>-1376324.2007439898</v>
      </c>
      <c r="D92" s="649"/>
      <c r="E92" s="58"/>
      <c r="F92" s="371"/>
      <c r="G92" s="58"/>
    </row>
    <row r="93" spans="1:7" s="12" customFormat="1" ht="15.05">
      <c r="A93" s="777" t="s">
        <v>37</v>
      </c>
      <c r="B93" s="777"/>
      <c r="C93" s="660">
        <f>C85/(C91-C87)</f>
        <v>-1771105.1297570409</v>
      </c>
      <c r="D93" s="650"/>
      <c r="E93" s="58"/>
      <c r="F93" s="371"/>
      <c r="G93" s="58"/>
    </row>
    <row r="94" spans="1:7" s="12" customFormat="1" ht="15.05">
      <c r="A94" s="777" t="s">
        <v>240</v>
      </c>
      <c r="B94" s="777"/>
      <c r="C94" s="658">
        <f>C88-C86</f>
        <v>-1087279.4696964109</v>
      </c>
      <c r="D94" s="650"/>
      <c r="E94" s="58"/>
      <c r="F94" s="371"/>
      <c r="G94" s="58"/>
    </row>
    <row r="95" spans="1:7" s="12" customFormat="1" ht="15.05">
      <c r="A95" s="777" t="s">
        <v>7</v>
      </c>
      <c r="B95" s="777"/>
      <c r="C95" s="661">
        <f>1/(1-(C85/C94))</f>
        <v>0.43927618141579033</v>
      </c>
      <c r="D95" s="565"/>
      <c r="E95" s="565"/>
      <c r="F95" s="371"/>
      <c r="G95" s="58"/>
    </row>
    <row r="96" spans="1:7" s="12" customFormat="1" ht="15.05">
      <c r="A96" s="780" t="s">
        <v>254</v>
      </c>
      <c r="B96" s="777"/>
      <c r="C96" s="662">
        <f>IF(C93&lt;0,(C89+C93)/C89,(C89-C93)/C89)</f>
        <v>-0.27647216559066007</v>
      </c>
      <c r="D96" s="58"/>
      <c r="E96" s="58"/>
      <c r="F96" s="371"/>
      <c r="G96" s="58"/>
    </row>
  </sheetData>
  <mergeCells count="30">
    <mergeCell ref="I2:J2"/>
    <mergeCell ref="A38:B38"/>
    <mergeCell ref="A39:B39"/>
    <mergeCell ref="A40:B40"/>
    <mergeCell ref="A43:B43"/>
    <mergeCell ref="A41:B41"/>
    <mergeCell ref="A1:G1"/>
    <mergeCell ref="A35:B35"/>
    <mergeCell ref="A36:B36"/>
    <mergeCell ref="A37:B37"/>
    <mergeCell ref="A88:B88"/>
    <mergeCell ref="A50:G50"/>
    <mergeCell ref="A45:B45"/>
    <mergeCell ref="A46:B46"/>
    <mergeCell ref="A42:B42"/>
    <mergeCell ref="A44:B44"/>
    <mergeCell ref="I51:J51"/>
    <mergeCell ref="A84:B84"/>
    <mergeCell ref="A85:B85"/>
    <mergeCell ref="A47:B47"/>
    <mergeCell ref="A96:B96"/>
    <mergeCell ref="A95:B95"/>
    <mergeCell ref="A90:B90"/>
    <mergeCell ref="A92:B92"/>
    <mergeCell ref="A93:B93"/>
    <mergeCell ref="A94:B94"/>
    <mergeCell ref="A91:B91"/>
    <mergeCell ref="A86:B86"/>
    <mergeCell ref="A87:B87"/>
    <mergeCell ref="A89:B89"/>
  </mergeCells>
  <phoneticPr fontId="0" type="noConversion"/>
  <pageMargins left="0.3" right="0.46" top="0.42" bottom="0.37" header="0.28999999999999998" footer="0.25"/>
  <pageSetup paperSize="9" scale="61" orientation="landscape"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4"/>
  <dimension ref="A1:S123"/>
  <sheetViews>
    <sheetView workbookViewId="0">
      <selection activeCell="C5" sqref="C5"/>
    </sheetView>
  </sheetViews>
  <sheetFormatPr defaultColWidth="9.109375" defaultRowHeight="12.55"/>
  <cols>
    <col min="1" max="1" width="4.5546875" style="12" customWidth="1"/>
    <col min="2" max="2" width="43.5546875" style="12" bestFit="1" customWidth="1"/>
    <col min="3" max="3" width="3.109375" style="12" customWidth="1"/>
    <col min="4" max="4" width="18" style="12" bestFit="1" customWidth="1"/>
    <col min="5" max="5" width="1.88671875" style="12" customWidth="1"/>
    <col min="6" max="6" width="16.109375" style="12" customWidth="1"/>
    <col min="7" max="7" width="2.5546875" style="12" customWidth="1"/>
    <col min="8" max="8" width="29.109375" style="12" customWidth="1"/>
    <col min="9" max="9" width="14.109375" style="12" customWidth="1"/>
    <col min="10" max="10" width="1.33203125" style="12" customWidth="1"/>
    <col min="11" max="11" width="28.5546875" style="12" customWidth="1"/>
    <col min="12" max="12" width="14.6640625" style="12" customWidth="1"/>
    <col min="13" max="13" width="2.5546875" style="12" customWidth="1"/>
    <col min="14" max="14" width="18.5546875" style="12" customWidth="1"/>
    <col min="15" max="15" width="1.6640625" style="12" customWidth="1"/>
    <col min="16" max="16" width="17.33203125" style="12" customWidth="1"/>
    <col min="17" max="17" width="4" style="12" customWidth="1"/>
    <col min="18" max="18" width="11.6640625" style="12" bestFit="1" customWidth="1"/>
    <col min="19" max="19" width="33.6640625" style="12" customWidth="1"/>
    <col min="20" max="16384" width="9.109375" style="12"/>
  </cols>
  <sheetData>
    <row r="1" spans="1:19" ht="26.3" thickTop="1" thickBot="1">
      <c r="A1" s="807" t="s">
        <v>205</v>
      </c>
      <c r="B1" s="808"/>
      <c r="C1" s="808"/>
      <c r="D1" s="808"/>
      <c r="E1" s="808"/>
      <c r="F1" s="808"/>
      <c r="G1" s="808"/>
      <c r="H1" s="808"/>
      <c r="I1" s="809"/>
      <c r="J1" s="214"/>
      <c r="K1" s="807" t="s">
        <v>206</v>
      </c>
      <c r="L1" s="808"/>
      <c r="M1" s="808"/>
      <c r="N1" s="808"/>
      <c r="O1" s="808"/>
      <c r="P1" s="808"/>
      <c r="Q1" s="808"/>
      <c r="R1" s="808"/>
      <c r="S1" s="809"/>
    </row>
    <row r="2" spans="1:19" ht="21.3" thickTop="1">
      <c r="A2" s="810" t="s">
        <v>73</v>
      </c>
      <c r="B2" s="810"/>
      <c r="C2" s="810"/>
      <c r="D2" s="810"/>
      <c r="E2" s="215"/>
      <c r="F2" s="811" t="s">
        <v>69</v>
      </c>
      <c r="G2" s="811"/>
      <c r="H2" s="811"/>
      <c r="I2" s="811"/>
      <c r="J2" s="216"/>
      <c r="K2" s="810" t="s">
        <v>73</v>
      </c>
      <c r="L2" s="810"/>
      <c r="M2" s="810"/>
      <c r="N2" s="810"/>
      <c r="O2" s="215"/>
      <c r="P2" s="811" t="s">
        <v>69</v>
      </c>
      <c r="Q2" s="811"/>
      <c r="R2" s="811"/>
      <c r="S2" s="811"/>
    </row>
    <row r="3" spans="1:19">
      <c r="A3" s="217"/>
      <c r="B3" s="217"/>
      <c r="C3" s="217"/>
      <c r="D3" s="217"/>
      <c r="E3" s="215"/>
      <c r="F3" s="218"/>
      <c r="G3" s="218"/>
      <c r="H3" s="218"/>
      <c r="I3" s="218"/>
      <c r="J3" s="216"/>
      <c r="K3" s="217"/>
      <c r="L3" s="217"/>
      <c r="M3" s="217"/>
      <c r="N3" s="217"/>
      <c r="O3" s="215"/>
      <c r="P3" s="218"/>
      <c r="Q3" s="218"/>
      <c r="R3" s="218"/>
      <c r="S3" s="218"/>
    </row>
    <row r="4" spans="1:19" ht="14.4">
      <c r="A4" s="803" t="s">
        <v>71</v>
      </c>
      <c r="B4" s="803"/>
      <c r="C4" s="803"/>
      <c r="D4" s="803"/>
      <c r="E4" s="215"/>
      <c r="F4" s="804" t="s">
        <v>71</v>
      </c>
      <c r="G4" s="804"/>
      <c r="H4" s="804"/>
      <c r="I4" s="804"/>
      <c r="J4" s="216"/>
      <c r="K4" s="803" t="s">
        <v>71</v>
      </c>
      <c r="L4" s="803"/>
      <c r="M4" s="803"/>
      <c r="N4" s="803"/>
      <c r="O4" s="215"/>
      <c r="P4" s="804" t="s">
        <v>71</v>
      </c>
      <c r="Q4" s="804"/>
      <c r="R4" s="804"/>
      <c r="S4" s="804"/>
    </row>
    <row r="5" spans="1:19">
      <c r="A5" s="217"/>
      <c r="B5" s="217"/>
      <c r="C5" s="217"/>
      <c r="D5" s="217"/>
      <c r="E5" s="215"/>
      <c r="F5" s="219"/>
      <c r="G5" s="219"/>
      <c r="H5" s="219"/>
      <c r="I5" s="219"/>
      <c r="J5" s="216"/>
      <c r="K5" s="217"/>
      <c r="L5" s="217"/>
      <c r="M5" s="217"/>
      <c r="N5" s="217"/>
      <c r="O5" s="215"/>
      <c r="P5" s="219"/>
      <c r="Q5" s="219"/>
      <c r="R5" s="219"/>
      <c r="S5" s="219"/>
    </row>
    <row r="6" spans="1:19" ht="17.55">
      <c r="A6" s="797" t="s">
        <v>166</v>
      </c>
      <c r="B6" s="798"/>
      <c r="C6" s="220" t="s">
        <v>161</v>
      </c>
      <c r="D6" s="674">
        <f>D7*D8</f>
        <v>100978.56000000001</v>
      </c>
      <c r="E6" s="215"/>
      <c r="F6" s="696">
        <f>F7*F8</f>
        <v>53354.450000000004</v>
      </c>
      <c r="G6" s="222" t="s">
        <v>161</v>
      </c>
      <c r="H6" s="791" t="s">
        <v>170</v>
      </c>
      <c r="I6" s="792"/>
      <c r="J6" s="216"/>
      <c r="K6" s="797" t="s">
        <v>166</v>
      </c>
      <c r="L6" s="798"/>
      <c r="M6" s="220" t="s">
        <v>161</v>
      </c>
      <c r="N6" s="674">
        <f>N7*N8</f>
        <v>505695.74068800005</v>
      </c>
      <c r="O6" s="215"/>
      <c r="P6" s="696">
        <f>P7*P8</f>
        <v>318680.5</v>
      </c>
      <c r="Q6" s="222" t="s">
        <v>161</v>
      </c>
      <c r="R6" s="791" t="s">
        <v>170</v>
      </c>
      <c r="S6" s="792"/>
    </row>
    <row r="7" spans="1:19" ht="15.05">
      <c r="A7" s="223"/>
      <c r="B7" s="224" t="s">
        <v>163</v>
      </c>
      <c r="C7" s="225"/>
      <c r="D7" s="675">
        <f>'Costi diretti'!F72</f>
        <v>1504000</v>
      </c>
      <c r="E7" s="226"/>
      <c r="F7" s="697">
        <f>'Costi diretti'!B72</f>
        <v>1033000</v>
      </c>
      <c r="G7" s="222"/>
      <c r="H7" s="227" t="s">
        <v>163</v>
      </c>
      <c r="I7" s="228"/>
      <c r="J7" s="216"/>
      <c r="K7" s="223"/>
      <c r="L7" s="224" t="s">
        <v>163</v>
      </c>
      <c r="M7" s="225"/>
      <c r="N7" s="675">
        <f>'Costi diretti'!F21</f>
        <v>7531959.2000000002</v>
      </c>
      <c r="O7" s="226"/>
      <c r="P7" s="697">
        <f>'Costi diretti'!B21</f>
        <v>6170000</v>
      </c>
      <c r="Q7" s="222"/>
      <c r="R7" s="227" t="s">
        <v>163</v>
      </c>
      <c r="S7" s="228"/>
    </row>
    <row r="8" spans="1:19">
      <c r="A8" s="218"/>
      <c r="B8" s="229" t="s">
        <v>164</v>
      </c>
      <c r="C8" s="225"/>
      <c r="D8" s="676">
        <f>'Costi diretti'!F76</f>
        <v>6.7140000000000005E-2</v>
      </c>
      <c r="E8" s="226"/>
      <c r="F8" s="698">
        <f>'Costi diretti'!B76</f>
        <v>5.1650000000000001E-2</v>
      </c>
      <c r="G8" s="222"/>
      <c r="H8" s="230" t="s">
        <v>144</v>
      </c>
      <c r="I8" s="231"/>
      <c r="J8" s="216"/>
      <c r="K8" s="218"/>
      <c r="L8" s="229" t="s">
        <v>164</v>
      </c>
      <c r="M8" s="225"/>
      <c r="N8" s="676">
        <f>'Costi diretti'!F25</f>
        <v>6.7140000000000005E-2</v>
      </c>
      <c r="O8" s="226"/>
      <c r="P8" s="698">
        <f>'Costi diretti'!B25</f>
        <v>5.1650000000000001E-2</v>
      </c>
      <c r="Q8" s="222"/>
      <c r="R8" s="230" t="s">
        <v>144</v>
      </c>
      <c r="S8" s="231"/>
    </row>
    <row r="9" spans="1:19" ht="15.05">
      <c r="A9" s="218"/>
      <c r="B9" s="218"/>
      <c r="C9" s="225"/>
      <c r="D9" s="232"/>
      <c r="E9" s="215"/>
      <c r="F9" s="699"/>
      <c r="G9" s="222"/>
      <c r="H9" s="805"/>
      <c r="I9" s="806"/>
      <c r="J9" s="216"/>
      <c r="K9" s="218"/>
      <c r="L9" s="218"/>
      <c r="M9" s="225"/>
      <c r="N9" s="232"/>
      <c r="O9" s="215"/>
      <c r="P9" s="699"/>
      <c r="Q9" s="222"/>
      <c r="R9" s="805"/>
      <c r="S9" s="806"/>
    </row>
    <row r="10" spans="1:19" ht="17.55">
      <c r="A10" s="789" t="s">
        <v>180</v>
      </c>
      <c r="B10" s="790"/>
      <c r="C10" s="225" t="s">
        <v>161</v>
      </c>
      <c r="D10" s="221">
        <f>D11+D14+D17+D20+D23</f>
        <v>261568.16000136189</v>
      </c>
      <c r="E10" s="215"/>
      <c r="F10" s="700">
        <f>F11+F14+F17+F20+F23</f>
        <v>182667.97249999997</v>
      </c>
      <c r="G10" s="222" t="s">
        <v>161</v>
      </c>
      <c r="H10" s="234" t="s">
        <v>171</v>
      </c>
      <c r="I10" s="227"/>
      <c r="J10" s="216"/>
      <c r="K10" s="789" t="s">
        <v>180</v>
      </c>
      <c r="L10" s="790"/>
      <c r="M10" s="225" t="s">
        <v>161</v>
      </c>
      <c r="N10" s="221">
        <f>N11+N14+N17+N20+N23</f>
        <v>1331895.175234</v>
      </c>
      <c r="O10" s="215"/>
      <c r="P10" s="700">
        <f>P11+P14+P17+P20+P23</f>
        <v>1091056.5250000001</v>
      </c>
      <c r="Q10" s="222" t="s">
        <v>161</v>
      </c>
      <c r="R10" s="234" t="s">
        <v>171</v>
      </c>
      <c r="S10" s="227"/>
    </row>
    <row r="11" spans="1:19" ht="15.05">
      <c r="A11" s="218"/>
      <c r="B11" s="223" t="s">
        <v>165</v>
      </c>
      <c r="C11" s="225"/>
      <c r="D11" s="677">
        <f>D12*D13</f>
        <v>225224</v>
      </c>
      <c r="E11" s="215"/>
      <c r="F11" s="701">
        <f>F12*F13</f>
        <v>154691.75</v>
      </c>
      <c r="G11" s="218"/>
      <c r="H11" s="234" t="s">
        <v>172</v>
      </c>
      <c r="I11" s="227"/>
      <c r="K11" s="218"/>
      <c r="L11" s="223" t="s">
        <v>165</v>
      </c>
      <c r="M11" s="225"/>
      <c r="N11" s="677">
        <f>N12*N13</f>
        <v>1127910.8902</v>
      </c>
      <c r="O11" s="215"/>
      <c r="P11" s="701">
        <f>P12*P13</f>
        <v>923957.5</v>
      </c>
      <c r="Q11" s="218"/>
      <c r="R11" s="234" t="s">
        <v>172</v>
      </c>
      <c r="S11" s="227"/>
    </row>
    <row r="12" spans="1:19" ht="15.05">
      <c r="A12" s="223"/>
      <c r="B12" s="224" t="s">
        <v>167</v>
      </c>
      <c r="C12" s="225"/>
      <c r="D12" s="675">
        <f>'Costi diretti'!F80</f>
        <v>3760000</v>
      </c>
      <c r="E12" s="215"/>
      <c r="F12" s="697">
        <f>'Costi diretti'!B80</f>
        <v>2582500</v>
      </c>
      <c r="G12" s="236"/>
      <c r="H12" s="227" t="s">
        <v>167</v>
      </c>
      <c r="I12" s="227"/>
      <c r="J12" s="216"/>
      <c r="K12" s="223"/>
      <c r="L12" s="224" t="s">
        <v>167</v>
      </c>
      <c r="M12" s="225"/>
      <c r="N12" s="675">
        <f>'Costi diretti'!F29</f>
        <v>18829898</v>
      </c>
      <c r="O12" s="215"/>
      <c r="P12" s="697">
        <f>'Costi diretti'!B29</f>
        <v>15425000</v>
      </c>
      <c r="Q12" s="236"/>
      <c r="R12" s="227" t="s">
        <v>167</v>
      </c>
      <c r="S12" s="227"/>
    </row>
    <row r="13" spans="1:19" ht="15.05">
      <c r="A13" s="218"/>
      <c r="B13" s="229" t="s">
        <v>168</v>
      </c>
      <c r="C13" s="224"/>
      <c r="D13" s="676">
        <f>'Costi diretti'!F78</f>
        <v>5.9900000000000002E-2</v>
      </c>
      <c r="E13" s="215"/>
      <c r="F13" s="698">
        <f>'Costi diretti'!B78</f>
        <v>5.9900000000000002E-2</v>
      </c>
      <c r="G13" s="238"/>
      <c r="H13" s="230" t="s">
        <v>168</v>
      </c>
      <c r="I13" s="227"/>
      <c r="J13" s="216"/>
      <c r="K13" s="218"/>
      <c r="L13" s="229" t="s">
        <v>168</v>
      </c>
      <c r="M13" s="224"/>
      <c r="N13" s="676">
        <f>'Costi diretti'!F27</f>
        <v>5.9900000000000002E-2</v>
      </c>
      <c r="O13" s="215"/>
      <c r="P13" s="698">
        <f>'Costi diretti'!B27</f>
        <v>5.9900000000000002E-2</v>
      </c>
      <c r="Q13" s="238"/>
      <c r="R13" s="230" t="s">
        <v>168</v>
      </c>
      <c r="S13" s="227"/>
    </row>
    <row r="14" spans="1:19" ht="15.05">
      <c r="A14" s="218"/>
      <c r="B14" s="223" t="s">
        <v>169</v>
      </c>
      <c r="C14" s="224"/>
      <c r="D14" s="677">
        <f>D15*D16</f>
        <v>29155.039999999997</v>
      </c>
      <c r="E14" s="215"/>
      <c r="F14" s="701">
        <f>F15*F16</f>
        <v>20024.704999999998</v>
      </c>
      <c r="G14" s="236"/>
      <c r="H14" s="234" t="s">
        <v>174</v>
      </c>
      <c r="I14" s="227"/>
      <c r="J14" s="216"/>
      <c r="K14" s="218"/>
      <c r="L14" s="223" t="s">
        <v>169</v>
      </c>
      <c r="M14" s="224"/>
      <c r="N14" s="677">
        <f>N15*N16</f>
        <v>146007.02909199998</v>
      </c>
      <c r="O14" s="215"/>
      <c r="P14" s="701">
        <f>P15*P16</f>
        <v>119605.45</v>
      </c>
      <c r="Q14" s="236"/>
      <c r="R14" s="234" t="s">
        <v>174</v>
      </c>
      <c r="S14" s="227"/>
    </row>
    <row r="15" spans="1:19" ht="15.05">
      <c r="A15" s="223"/>
      <c r="B15" s="224" t="s">
        <v>167</v>
      </c>
      <c r="C15" s="225"/>
      <c r="D15" s="675">
        <f>'Costi diretti'!F85</f>
        <v>3760000</v>
      </c>
      <c r="E15" s="215"/>
      <c r="F15" s="697">
        <f>'Costi diretti'!B85</f>
        <v>2582500</v>
      </c>
      <c r="G15" s="236"/>
      <c r="H15" s="227" t="s">
        <v>167</v>
      </c>
      <c r="I15" s="227"/>
      <c r="J15" s="216"/>
      <c r="K15" s="223"/>
      <c r="L15" s="224" t="s">
        <v>167</v>
      </c>
      <c r="M15" s="225"/>
      <c r="N15" s="675">
        <f>'Costi diretti'!F34</f>
        <v>18829898</v>
      </c>
      <c r="O15" s="215"/>
      <c r="P15" s="697">
        <f>'Costi diretti'!B34</f>
        <v>15425000</v>
      </c>
      <c r="Q15" s="236"/>
      <c r="R15" s="227" t="s">
        <v>167</v>
      </c>
      <c r="S15" s="227"/>
    </row>
    <row r="16" spans="1:19" ht="15.05">
      <c r="A16" s="218"/>
      <c r="B16" s="229" t="s">
        <v>168</v>
      </c>
      <c r="C16" s="224"/>
      <c r="D16" s="676">
        <f>'Costi diretti'!F83</f>
        <v>7.7539999999999996E-3</v>
      </c>
      <c r="E16" s="215"/>
      <c r="F16" s="698">
        <f>'Costi diretti'!B83</f>
        <v>7.7539999999999996E-3</v>
      </c>
      <c r="G16" s="238"/>
      <c r="H16" s="230" t="s">
        <v>168</v>
      </c>
      <c r="I16" s="227"/>
      <c r="J16" s="216"/>
      <c r="K16" s="218"/>
      <c r="L16" s="229" t="s">
        <v>168</v>
      </c>
      <c r="M16" s="224"/>
      <c r="N16" s="676">
        <f>'Costi diretti'!F32</f>
        <v>7.7539999999999996E-3</v>
      </c>
      <c r="O16" s="215"/>
      <c r="P16" s="698">
        <f>'Costi diretti'!B32</f>
        <v>7.7539999999999996E-3</v>
      </c>
      <c r="Q16" s="238"/>
      <c r="R16" s="230" t="s">
        <v>168</v>
      </c>
      <c r="S16" s="227"/>
    </row>
    <row r="17" spans="1:19" ht="15.05">
      <c r="A17" s="218"/>
      <c r="B17" s="223" t="s">
        <v>177</v>
      </c>
      <c r="C17" s="224"/>
      <c r="D17" s="677">
        <f>D18*D19</f>
        <v>1.3618890000000002E-6</v>
      </c>
      <c r="E17" s="215"/>
      <c r="F17" s="701">
        <f>F18*F19</f>
        <v>3013.7775000000001</v>
      </c>
      <c r="G17" s="236"/>
      <c r="H17" s="234" t="s">
        <v>173</v>
      </c>
      <c r="I17" s="227"/>
      <c r="J17" s="216"/>
      <c r="K17" s="218"/>
      <c r="L17" s="223" t="s">
        <v>177</v>
      </c>
      <c r="M17" s="224"/>
      <c r="N17" s="677">
        <f>N18*N19</f>
        <v>21974.490966000001</v>
      </c>
      <c r="O17" s="215"/>
      <c r="P17" s="701">
        <f>P18*P19</f>
        <v>18000.975000000002</v>
      </c>
      <c r="Q17" s="236"/>
      <c r="R17" s="234" t="s">
        <v>173</v>
      </c>
      <c r="S17" s="227"/>
    </row>
    <row r="18" spans="1:19" ht="15.05">
      <c r="A18" s="223"/>
      <c r="B18" s="224" t="s">
        <v>167</v>
      </c>
      <c r="C18" s="225"/>
      <c r="D18" s="675">
        <f>'Costi diretti'!F88</f>
        <v>1.1670000000000001E-3</v>
      </c>
      <c r="E18" s="215"/>
      <c r="F18" s="697">
        <f>'Costi diretti'!B90</f>
        <v>2582500</v>
      </c>
      <c r="G18" s="236"/>
      <c r="H18" s="227" t="s">
        <v>167</v>
      </c>
      <c r="I18" s="227"/>
      <c r="J18" s="216"/>
      <c r="K18" s="223"/>
      <c r="L18" s="224" t="s">
        <v>167</v>
      </c>
      <c r="M18" s="225"/>
      <c r="N18" s="675">
        <f>'Costi diretti'!F39</f>
        <v>18829898</v>
      </c>
      <c r="O18" s="215"/>
      <c r="P18" s="697">
        <f>'Costi diretti'!B39</f>
        <v>15425000</v>
      </c>
      <c r="Q18" s="236"/>
      <c r="R18" s="227" t="s">
        <v>167</v>
      </c>
      <c r="S18" s="227"/>
    </row>
    <row r="19" spans="1:19" ht="15.05">
      <c r="A19" s="218"/>
      <c r="B19" s="229" t="s">
        <v>168</v>
      </c>
      <c r="C19" s="224"/>
      <c r="D19" s="676">
        <f>'Costi diretti'!F88</f>
        <v>1.1670000000000001E-3</v>
      </c>
      <c r="E19" s="215"/>
      <c r="F19" s="698">
        <f>'Costi diretti'!B88</f>
        <v>1.1670000000000001E-3</v>
      </c>
      <c r="G19" s="238"/>
      <c r="H19" s="230" t="s">
        <v>168</v>
      </c>
      <c r="I19" s="227"/>
      <c r="J19" s="216"/>
      <c r="K19" s="218"/>
      <c r="L19" s="229" t="s">
        <v>168</v>
      </c>
      <c r="M19" s="224"/>
      <c r="N19" s="676">
        <f>'Costi diretti'!F37</f>
        <v>1.1670000000000001E-3</v>
      </c>
      <c r="O19" s="215"/>
      <c r="P19" s="698">
        <f>'Costi diretti'!B37</f>
        <v>1.1670000000000001E-3</v>
      </c>
      <c r="Q19" s="238"/>
      <c r="R19" s="230" t="s">
        <v>168</v>
      </c>
      <c r="S19" s="227"/>
    </row>
    <row r="20" spans="1:19" ht="15.05">
      <c r="A20" s="218"/>
      <c r="B20" s="223" t="s">
        <v>178</v>
      </c>
      <c r="C20" s="224"/>
      <c r="D20" s="677">
        <f>D21*D22</f>
        <v>6437.12</v>
      </c>
      <c r="E20" s="215"/>
      <c r="F20" s="701">
        <f>F21*F22</f>
        <v>4421.24</v>
      </c>
      <c r="G20" s="236"/>
      <c r="H20" s="234" t="s">
        <v>175</v>
      </c>
      <c r="I20" s="227"/>
      <c r="J20" s="216"/>
      <c r="K20" s="218"/>
      <c r="L20" s="223" t="s">
        <v>178</v>
      </c>
      <c r="M20" s="224"/>
      <c r="N20" s="677">
        <f>N21*N22</f>
        <v>32236.785376</v>
      </c>
      <c r="O20" s="215"/>
      <c r="P20" s="701">
        <f>P21*P22</f>
        <v>26407.599999999999</v>
      </c>
      <c r="Q20" s="236"/>
      <c r="R20" s="234" t="s">
        <v>175</v>
      </c>
      <c r="S20" s="227"/>
    </row>
    <row r="21" spans="1:19" ht="15.05">
      <c r="A21" s="223"/>
      <c r="B21" s="224" t="s">
        <v>167</v>
      </c>
      <c r="C21" s="225"/>
      <c r="D21" s="675">
        <f>'Costi diretti'!F95</f>
        <v>3760000</v>
      </c>
      <c r="E21" s="215"/>
      <c r="F21" s="697">
        <f>'Costi diretti'!B95</f>
        <v>2582500</v>
      </c>
      <c r="G21" s="236"/>
      <c r="H21" s="227" t="s">
        <v>167</v>
      </c>
      <c r="I21" s="227"/>
      <c r="J21" s="216"/>
      <c r="K21" s="223"/>
      <c r="L21" s="224" t="s">
        <v>167</v>
      </c>
      <c r="M21" s="225"/>
      <c r="N21" s="675">
        <f>'Costi diretti'!F44</f>
        <v>18829898</v>
      </c>
      <c r="O21" s="215"/>
      <c r="P21" s="697">
        <f>'Costi diretti'!B44</f>
        <v>15425000</v>
      </c>
      <c r="Q21" s="236"/>
      <c r="R21" s="227" t="s">
        <v>167</v>
      </c>
      <c r="S21" s="227"/>
    </row>
    <row r="22" spans="1:19" ht="15.05">
      <c r="A22" s="218"/>
      <c r="B22" s="229" t="s">
        <v>168</v>
      </c>
      <c r="C22" s="224"/>
      <c r="D22" s="676">
        <f>'Costi diretti'!F93</f>
        <v>1.712E-3</v>
      </c>
      <c r="E22" s="215"/>
      <c r="F22" s="698">
        <f>'Costi diretti'!B93</f>
        <v>1.712E-3</v>
      </c>
      <c r="G22" s="238"/>
      <c r="H22" s="230" t="s">
        <v>168</v>
      </c>
      <c r="I22" s="227"/>
      <c r="J22" s="216"/>
      <c r="K22" s="218"/>
      <c r="L22" s="229" t="s">
        <v>168</v>
      </c>
      <c r="M22" s="224"/>
      <c r="N22" s="676">
        <f>'Costi diretti'!F42</f>
        <v>1.712E-3</v>
      </c>
      <c r="O22" s="215"/>
      <c r="P22" s="698">
        <f>'Costi diretti'!B42</f>
        <v>1.712E-3</v>
      </c>
      <c r="Q22" s="238"/>
      <c r="R22" s="230" t="s">
        <v>168</v>
      </c>
      <c r="S22" s="227"/>
    </row>
    <row r="23" spans="1:19" ht="15.05">
      <c r="A23" s="218"/>
      <c r="B23" s="223" t="s">
        <v>179</v>
      </c>
      <c r="C23" s="224"/>
      <c r="D23" s="677">
        <f>D24*D25</f>
        <v>752</v>
      </c>
      <c r="E23" s="215"/>
      <c r="F23" s="701">
        <f>F24*F25</f>
        <v>516.5</v>
      </c>
      <c r="G23" s="236"/>
      <c r="H23" s="234" t="s">
        <v>176</v>
      </c>
      <c r="I23" s="227"/>
      <c r="J23" s="216"/>
      <c r="K23" s="218"/>
      <c r="L23" s="223" t="s">
        <v>179</v>
      </c>
      <c r="M23" s="224"/>
      <c r="N23" s="677">
        <f>N24*N25</f>
        <v>3765.9796000000001</v>
      </c>
      <c r="O23" s="215"/>
      <c r="P23" s="701">
        <f>P24*P25</f>
        <v>3085</v>
      </c>
      <c r="Q23" s="236"/>
      <c r="R23" s="234" t="s">
        <v>176</v>
      </c>
      <c r="S23" s="227"/>
    </row>
    <row r="24" spans="1:19" ht="15.05">
      <c r="A24" s="223"/>
      <c r="B24" s="224" t="s">
        <v>167</v>
      </c>
      <c r="C24" s="225"/>
      <c r="D24" s="675">
        <f>'Costi diretti'!F100</f>
        <v>3760000</v>
      </c>
      <c r="E24" s="215"/>
      <c r="F24" s="697">
        <f>'Costi diretti'!B100</f>
        <v>2582500</v>
      </c>
      <c r="G24" s="236"/>
      <c r="H24" s="227" t="s">
        <v>167</v>
      </c>
      <c r="I24" s="227"/>
      <c r="J24" s="216"/>
      <c r="K24" s="223"/>
      <c r="L24" s="224" t="s">
        <v>167</v>
      </c>
      <c r="M24" s="225"/>
      <c r="N24" s="675">
        <f>'Costi diretti'!F49</f>
        <v>18829898</v>
      </c>
      <c r="O24" s="215"/>
      <c r="P24" s="697">
        <f>'Costi diretti'!B49</f>
        <v>15425000</v>
      </c>
      <c r="Q24" s="236"/>
      <c r="R24" s="227" t="s">
        <v>167</v>
      </c>
      <c r="S24" s="227"/>
    </row>
    <row r="25" spans="1:19" ht="15.05">
      <c r="A25" s="218"/>
      <c r="B25" s="229" t="s">
        <v>168</v>
      </c>
      <c r="C25" s="224"/>
      <c r="D25" s="676">
        <f>'Costi diretti'!F98</f>
        <v>2.0000000000000001E-4</v>
      </c>
      <c r="E25" s="215"/>
      <c r="F25" s="698">
        <f>'Costi diretti'!B98</f>
        <v>2.0000000000000001E-4</v>
      </c>
      <c r="G25" s="238"/>
      <c r="H25" s="230" t="s">
        <v>168</v>
      </c>
      <c r="I25" s="227"/>
      <c r="J25" s="216"/>
      <c r="K25" s="218"/>
      <c r="L25" s="229" t="s">
        <v>168</v>
      </c>
      <c r="M25" s="224"/>
      <c r="N25" s="676">
        <f>'Costi diretti'!F47</f>
        <v>2.0000000000000001E-4</v>
      </c>
      <c r="O25" s="215"/>
      <c r="P25" s="698">
        <f>'Costi diretti'!B47</f>
        <v>2.0000000000000001E-4</v>
      </c>
      <c r="Q25" s="238"/>
      <c r="R25" s="230" t="s">
        <v>168</v>
      </c>
      <c r="S25" s="227"/>
    </row>
    <row r="26" spans="1:19" ht="15.05">
      <c r="A26" s="218"/>
      <c r="B26" s="239"/>
      <c r="C26" s="224"/>
      <c r="D26" s="237"/>
      <c r="E26" s="215"/>
      <c r="F26" s="702"/>
      <c r="G26" s="238"/>
      <c r="H26" s="240"/>
      <c r="I26" s="227"/>
      <c r="J26" s="216"/>
      <c r="K26" s="218"/>
      <c r="L26" s="239"/>
      <c r="M26" s="224"/>
      <c r="N26" s="237"/>
      <c r="O26" s="215"/>
      <c r="P26" s="702"/>
      <c r="Q26" s="238"/>
      <c r="R26" s="240"/>
      <c r="S26" s="227"/>
    </row>
    <row r="27" spans="1:19" ht="15.05">
      <c r="A27" s="789" t="s">
        <v>140</v>
      </c>
      <c r="B27" s="799"/>
      <c r="C27" s="225" t="s">
        <v>161</v>
      </c>
      <c r="D27" s="678">
        <f>'Struttura Ricavi'!B35</f>
        <v>1720000</v>
      </c>
      <c r="E27" s="241"/>
      <c r="F27" s="703">
        <f>'Struttura Ricavi'!B49</f>
        <v>635500</v>
      </c>
      <c r="G27" s="222" t="s">
        <v>161</v>
      </c>
      <c r="H27" s="800" t="s">
        <v>140</v>
      </c>
      <c r="I27" s="801"/>
      <c r="J27" s="216"/>
      <c r="K27" s="789" t="s">
        <v>140</v>
      </c>
      <c r="L27" s="799"/>
      <c r="M27" s="225" t="s">
        <v>161</v>
      </c>
      <c r="N27" s="678">
        <f>'Struttura Ricavi'!B5</f>
        <v>9199898</v>
      </c>
      <c r="O27" s="241"/>
      <c r="P27" s="703">
        <f>'Struttura Ricavi'!B19</f>
        <v>8883000</v>
      </c>
      <c r="Q27" s="222" t="s">
        <v>161</v>
      </c>
      <c r="R27" s="800" t="s">
        <v>140</v>
      </c>
      <c r="S27" s="801"/>
    </row>
    <row r="28" spans="1:19" ht="15.05">
      <c r="A28" s="218"/>
      <c r="B28" s="239"/>
      <c r="C28" s="224"/>
      <c r="D28" s="678"/>
      <c r="E28" s="241"/>
      <c r="F28" s="703"/>
      <c r="G28" s="238"/>
      <c r="H28" s="240"/>
      <c r="I28" s="227"/>
      <c r="J28" s="216"/>
      <c r="K28" s="218"/>
      <c r="L28" s="239"/>
      <c r="M28" s="224"/>
      <c r="N28" s="678"/>
      <c r="O28" s="241"/>
      <c r="P28" s="703"/>
      <c r="Q28" s="238"/>
      <c r="R28" s="240"/>
      <c r="S28" s="227"/>
    </row>
    <row r="29" spans="1:19" ht="15.05">
      <c r="A29" s="789" t="s">
        <v>186</v>
      </c>
      <c r="B29" s="799"/>
      <c r="C29" s="225" t="s">
        <v>161</v>
      </c>
      <c r="D29" s="678">
        <f>'Struttura Ricavi'!B44</f>
        <v>2040000</v>
      </c>
      <c r="E29" s="241"/>
      <c r="F29" s="703">
        <f>'Struttura Ricavi'!B58</f>
        <v>1947000</v>
      </c>
      <c r="G29" s="222" t="s">
        <v>161</v>
      </c>
      <c r="H29" s="800" t="s">
        <v>186</v>
      </c>
      <c r="I29" s="801"/>
      <c r="J29" s="216"/>
      <c r="K29" s="789" t="s">
        <v>186</v>
      </c>
      <c r="L29" s="799"/>
      <c r="M29" s="225" t="s">
        <v>161</v>
      </c>
      <c r="N29" s="678">
        <f>'Struttura Ricavi'!B14</f>
        <v>9630000</v>
      </c>
      <c r="O29" s="241"/>
      <c r="P29" s="703">
        <f>'Struttura Ricavi'!B28</f>
        <v>6542000</v>
      </c>
      <c r="Q29" s="222" t="s">
        <v>161</v>
      </c>
      <c r="R29" s="800" t="s">
        <v>186</v>
      </c>
      <c r="S29" s="801"/>
    </row>
    <row r="30" spans="1:19" ht="15.05">
      <c r="A30" s="223"/>
      <c r="B30" s="243"/>
      <c r="C30" s="225"/>
      <c r="D30" s="235"/>
      <c r="E30" s="241"/>
      <c r="F30" s="704"/>
      <c r="G30" s="222"/>
      <c r="H30" s="234"/>
      <c r="I30" s="244"/>
      <c r="J30" s="216"/>
      <c r="K30" s="223"/>
      <c r="L30" s="243"/>
      <c r="M30" s="225"/>
      <c r="N30" s="235"/>
      <c r="O30" s="241"/>
      <c r="P30" s="704"/>
      <c r="Q30" s="222"/>
      <c r="R30" s="234"/>
      <c r="S30" s="244"/>
    </row>
    <row r="31" spans="1:19" ht="15.05">
      <c r="A31" s="789" t="s">
        <v>162</v>
      </c>
      <c r="B31" s="799"/>
      <c r="C31" s="225" t="s">
        <v>161</v>
      </c>
      <c r="D31" s="679">
        <f>'Struttura Ricavi'!B36</f>
        <v>0.6</v>
      </c>
      <c r="E31" s="241"/>
      <c r="F31" s="695">
        <f>'Struttura Ricavi'!B50</f>
        <v>0.75</v>
      </c>
      <c r="G31" s="222" t="s">
        <v>161</v>
      </c>
      <c r="H31" s="800" t="s">
        <v>162</v>
      </c>
      <c r="I31" s="801"/>
      <c r="J31" s="216"/>
      <c r="K31" s="789" t="s">
        <v>162</v>
      </c>
      <c r="L31" s="799"/>
      <c r="M31" s="225" t="s">
        <v>161</v>
      </c>
      <c r="N31" s="679">
        <f>'Struttura Ricavi'!B6</f>
        <v>0.6</v>
      </c>
      <c r="O31" s="241"/>
      <c r="P31" s="695">
        <f>'Struttura Ricavi'!B20</f>
        <v>0.75</v>
      </c>
      <c r="Q31" s="222" t="s">
        <v>161</v>
      </c>
      <c r="R31" s="800" t="s">
        <v>162</v>
      </c>
      <c r="S31" s="801"/>
    </row>
    <row r="32" spans="1:19" ht="15.05">
      <c r="A32" s="218"/>
      <c r="B32" s="239"/>
      <c r="C32" s="224"/>
      <c r="D32" s="242"/>
      <c r="E32" s="241"/>
      <c r="F32" s="705"/>
      <c r="G32" s="238"/>
      <c r="H32" s="240"/>
      <c r="I32" s="227"/>
      <c r="J32" s="216"/>
      <c r="K32" s="218"/>
      <c r="L32" s="239"/>
      <c r="M32" s="224"/>
      <c r="N32" s="242"/>
      <c r="O32" s="241"/>
      <c r="P32" s="705"/>
      <c r="Q32" s="238"/>
      <c r="R32" s="240"/>
      <c r="S32" s="227"/>
    </row>
    <row r="33" spans="1:19" ht="15.05">
      <c r="A33" s="789" t="s">
        <v>160</v>
      </c>
      <c r="B33" s="795"/>
      <c r="C33" s="225" t="s">
        <v>161</v>
      </c>
      <c r="D33" s="677">
        <f>'Scheda Ricavi'!B17</f>
        <v>1032000</v>
      </c>
      <c r="E33" s="241"/>
      <c r="F33" s="701">
        <f>'Scheda Ricavi'!B21</f>
        <v>476625</v>
      </c>
      <c r="G33" s="222" t="s">
        <v>161</v>
      </c>
      <c r="H33" s="791" t="s">
        <v>160</v>
      </c>
      <c r="I33" s="796"/>
      <c r="J33" s="216"/>
      <c r="K33" s="789" t="s">
        <v>160</v>
      </c>
      <c r="L33" s="795"/>
      <c r="M33" s="225" t="s">
        <v>161</v>
      </c>
      <c r="N33" s="677">
        <f>'Scheda Ricavi'!B4</f>
        <v>5519938.7999999998</v>
      </c>
      <c r="O33" s="241"/>
      <c r="P33" s="701">
        <f>'Scheda Ricavi'!B8</f>
        <v>6662250</v>
      </c>
      <c r="Q33" s="222" t="s">
        <v>161</v>
      </c>
      <c r="R33" s="791" t="s">
        <v>160</v>
      </c>
      <c r="S33" s="796"/>
    </row>
    <row r="34" spans="1:19" ht="15.05">
      <c r="A34" s="223"/>
      <c r="B34" s="224"/>
      <c r="C34" s="225"/>
      <c r="D34" s="677"/>
      <c r="E34" s="241"/>
      <c r="F34" s="701"/>
      <c r="G34" s="222"/>
      <c r="H34" s="245"/>
      <c r="I34" s="246"/>
      <c r="J34" s="216"/>
      <c r="K34" s="223"/>
      <c r="L34" s="224"/>
      <c r="M34" s="225"/>
      <c r="N34" s="677"/>
      <c r="O34" s="241"/>
      <c r="P34" s="701"/>
      <c r="Q34" s="222"/>
      <c r="R34" s="245"/>
      <c r="S34" s="246"/>
    </row>
    <row r="35" spans="1:19" ht="15.05">
      <c r="A35" s="789" t="s">
        <v>223</v>
      </c>
      <c r="B35" s="795"/>
      <c r="C35" s="225" t="s">
        <v>161</v>
      </c>
      <c r="D35" s="677">
        <f>'Scheda Ricavi'!B17/(D27)</f>
        <v>0.6</v>
      </c>
      <c r="E35" s="241"/>
      <c r="F35" s="701">
        <f>'Scheda Ricavi'!B21/F27</f>
        <v>0.75</v>
      </c>
      <c r="G35" s="222" t="s">
        <v>161</v>
      </c>
      <c r="H35" s="791" t="s">
        <v>223</v>
      </c>
      <c r="I35" s="796"/>
      <c r="J35" s="216"/>
      <c r="K35" s="789" t="s">
        <v>223</v>
      </c>
      <c r="L35" s="795"/>
      <c r="M35" s="225" t="s">
        <v>161</v>
      </c>
      <c r="N35" s="677">
        <f>'Scheda Ricavi'!B4/N27</f>
        <v>0.6</v>
      </c>
      <c r="O35" s="241"/>
      <c r="P35" s="701">
        <f>'Scheda Ricavi'!B8/P27</f>
        <v>0.75</v>
      </c>
      <c r="Q35" s="222" t="s">
        <v>161</v>
      </c>
      <c r="R35" s="791" t="s">
        <v>223</v>
      </c>
      <c r="S35" s="796"/>
    </row>
    <row r="36" spans="1:19" ht="15.05">
      <c r="A36" s="223"/>
      <c r="B36" s="224"/>
      <c r="C36" s="225"/>
      <c r="D36" s="232"/>
      <c r="E36" s="215"/>
      <c r="F36" s="233"/>
      <c r="G36" s="222"/>
      <c r="H36" s="245"/>
      <c r="I36" s="246"/>
      <c r="J36" s="216"/>
      <c r="K36" s="223"/>
      <c r="L36" s="224"/>
      <c r="M36" s="225"/>
      <c r="N36" s="232"/>
      <c r="O36" s="215"/>
      <c r="P36" s="233"/>
      <c r="Q36" s="222"/>
      <c r="R36" s="245"/>
      <c r="S36" s="246"/>
    </row>
    <row r="37" spans="1:19" ht="14.4">
      <c r="A37" s="803" t="s">
        <v>72</v>
      </c>
      <c r="B37" s="803"/>
      <c r="C37" s="803"/>
      <c r="D37" s="803"/>
      <c r="E37" s="215"/>
      <c r="F37" s="804" t="s">
        <v>72</v>
      </c>
      <c r="G37" s="804"/>
      <c r="H37" s="804"/>
      <c r="I37" s="804"/>
      <c r="J37" s="216"/>
      <c r="K37" s="803" t="s">
        <v>72</v>
      </c>
      <c r="L37" s="803"/>
      <c r="M37" s="803"/>
      <c r="N37" s="803"/>
      <c r="O37" s="215"/>
      <c r="P37" s="804" t="s">
        <v>72</v>
      </c>
      <c r="Q37" s="804"/>
      <c r="R37" s="804"/>
      <c r="S37" s="804"/>
    </row>
    <row r="38" spans="1:19" ht="14.4">
      <c r="A38" s="247"/>
      <c r="B38" s="247"/>
      <c r="C38" s="247"/>
      <c r="D38" s="247"/>
      <c r="E38" s="215"/>
      <c r="F38" s="248"/>
      <c r="G38" s="248"/>
      <c r="H38" s="248"/>
      <c r="I38" s="248"/>
      <c r="J38" s="216"/>
      <c r="K38" s="247"/>
      <c r="L38" s="247"/>
      <c r="M38" s="247"/>
      <c r="N38" s="247"/>
      <c r="O38" s="215"/>
      <c r="P38" s="248"/>
      <c r="Q38" s="248"/>
      <c r="R38" s="248"/>
      <c r="S38" s="248"/>
    </row>
    <row r="39" spans="1:19" ht="17.55">
      <c r="A39" s="797" t="s">
        <v>166</v>
      </c>
      <c r="B39" s="798"/>
      <c r="C39" s="220" t="s">
        <v>161</v>
      </c>
      <c r="D39" s="674">
        <f>D40*D41</f>
        <v>667528.54646400001</v>
      </c>
      <c r="E39" s="215"/>
      <c r="F39" s="685">
        <f>F40*F41</f>
        <v>359494.33</v>
      </c>
      <c r="G39" s="222" t="s">
        <v>161</v>
      </c>
      <c r="H39" s="791" t="s">
        <v>170</v>
      </c>
      <c r="I39" s="792"/>
      <c r="J39" s="216"/>
      <c r="K39" s="797" t="s">
        <v>166</v>
      </c>
      <c r="L39" s="798"/>
      <c r="M39" s="220" t="s">
        <v>161</v>
      </c>
      <c r="N39" s="674">
        <f>N40*N41</f>
        <v>1118291.8968</v>
      </c>
      <c r="O39" s="215"/>
      <c r="P39" s="685">
        <f>P40*P41</f>
        <v>844646.09592999995</v>
      </c>
      <c r="Q39" s="222" t="s">
        <v>161</v>
      </c>
      <c r="R39" s="791" t="s">
        <v>170</v>
      </c>
      <c r="S39" s="792"/>
    </row>
    <row r="40" spans="1:19" ht="15.05">
      <c r="A40" s="223"/>
      <c r="B40" s="224" t="s">
        <v>163</v>
      </c>
      <c r="C40" s="225"/>
      <c r="D40" s="675">
        <f>'Costi diretti'!F74</f>
        <v>9942337.5999999996</v>
      </c>
      <c r="E40" s="226"/>
      <c r="F40" s="686">
        <f>'Costi diretti'!B74</f>
        <v>6960200</v>
      </c>
      <c r="G40" s="222"/>
      <c r="H40" s="227" t="s">
        <v>163</v>
      </c>
      <c r="I40" s="228"/>
      <c r="J40" s="216"/>
      <c r="K40" s="223"/>
      <c r="L40" s="224" t="s">
        <v>163</v>
      </c>
      <c r="M40" s="225"/>
      <c r="N40" s="675">
        <f>'Costi diretti'!F23</f>
        <v>16656120</v>
      </c>
      <c r="O40" s="226"/>
      <c r="P40" s="686">
        <f>'Costi diretti'!B23</f>
        <v>16353264.199999999</v>
      </c>
      <c r="Q40" s="222"/>
      <c r="R40" s="227" t="s">
        <v>163</v>
      </c>
      <c r="S40" s="228"/>
    </row>
    <row r="41" spans="1:19">
      <c r="A41" s="218"/>
      <c r="B41" s="229" t="s">
        <v>164</v>
      </c>
      <c r="C41" s="225"/>
      <c r="D41" s="676">
        <f>'Costi diretti'!F76</f>
        <v>6.7140000000000005E-2</v>
      </c>
      <c r="E41" s="226"/>
      <c r="F41" s="687">
        <f>'Costi diretti'!B76</f>
        <v>5.1650000000000001E-2</v>
      </c>
      <c r="G41" s="222"/>
      <c r="H41" s="230" t="s">
        <v>144</v>
      </c>
      <c r="I41" s="231"/>
      <c r="J41" s="216"/>
      <c r="K41" s="218"/>
      <c r="L41" s="229" t="s">
        <v>164</v>
      </c>
      <c r="M41" s="225"/>
      <c r="N41" s="676">
        <f>'Costi diretti'!F25</f>
        <v>6.7140000000000005E-2</v>
      </c>
      <c r="O41" s="226"/>
      <c r="P41" s="687">
        <f>'Costi diretti'!B25</f>
        <v>5.1650000000000001E-2</v>
      </c>
      <c r="Q41" s="222"/>
      <c r="R41" s="230" t="s">
        <v>144</v>
      </c>
      <c r="S41" s="231"/>
    </row>
    <row r="42" spans="1:19" ht="15.05">
      <c r="A42" s="218"/>
      <c r="B42" s="218"/>
      <c r="C42" s="225"/>
      <c r="D42" s="232"/>
      <c r="E42" s="215"/>
      <c r="F42" s="688"/>
      <c r="G42" s="222"/>
      <c r="H42" s="805"/>
      <c r="I42" s="806"/>
      <c r="J42" s="216"/>
      <c r="K42" s="218"/>
      <c r="L42" s="218"/>
      <c r="M42" s="225"/>
      <c r="N42" s="232"/>
      <c r="O42" s="215"/>
      <c r="P42" s="688"/>
      <c r="Q42" s="222"/>
      <c r="R42" s="805"/>
      <c r="S42" s="806"/>
    </row>
    <row r="43" spans="1:19" ht="17.55">
      <c r="A43" s="789" t="s">
        <v>180</v>
      </c>
      <c r="B43" s="790"/>
      <c r="C43" s="225" t="s">
        <v>161</v>
      </c>
      <c r="D43" s="221">
        <f>D44+D47+D50+D53+D56</f>
        <v>436629.22763199999</v>
      </c>
      <c r="E43" s="215"/>
      <c r="F43" s="689">
        <f>F44+F47+F50+F53+F56</f>
        <v>305665.21399999998</v>
      </c>
      <c r="G43" s="222" t="s">
        <v>161</v>
      </c>
      <c r="H43" s="234" t="s">
        <v>171</v>
      </c>
      <c r="I43" s="227"/>
      <c r="J43" s="216"/>
      <c r="K43" s="789" t="s">
        <v>180</v>
      </c>
      <c r="L43" s="790"/>
      <c r="M43" s="225" t="s">
        <v>161</v>
      </c>
      <c r="N43" s="221">
        <f>N44+N47+N50+N53+N56</f>
        <v>731472.72840000002</v>
      </c>
      <c r="O43" s="215"/>
      <c r="P43" s="689">
        <f>P44+P47+P50+P53+P56</f>
        <v>718172.46649399993</v>
      </c>
      <c r="Q43" s="222" t="s">
        <v>161</v>
      </c>
      <c r="R43" s="234" t="s">
        <v>171</v>
      </c>
      <c r="S43" s="227"/>
    </row>
    <row r="44" spans="1:19" ht="15.05">
      <c r="A44" s="218"/>
      <c r="B44" s="223" t="s">
        <v>165</v>
      </c>
      <c r="C44" s="225"/>
      <c r="D44" s="677">
        <f>D45*D46</f>
        <v>277708.60904799995</v>
      </c>
      <c r="E44" s="215"/>
      <c r="F44" s="690">
        <f>F45*F46</f>
        <v>194411.77099999998</v>
      </c>
      <c r="G44" s="218"/>
      <c r="H44" s="234" t="s">
        <v>172</v>
      </c>
      <c r="I44" s="227"/>
      <c r="J44" s="216"/>
      <c r="K44" s="218"/>
      <c r="L44" s="223" t="s">
        <v>165</v>
      </c>
      <c r="M44" s="225"/>
      <c r="N44" s="677">
        <f>N45*N46</f>
        <v>465237.46259999997</v>
      </c>
      <c r="O44" s="215"/>
      <c r="P44" s="690">
        <f>P45*P46</f>
        <v>456778.11769099993</v>
      </c>
      <c r="Q44" s="218"/>
      <c r="R44" s="234" t="s">
        <v>172</v>
      </c>
      <c r="S44" s="227"/>
    </row>
    <row r="45" spans="1:19" ht="15.05">
      <c r="A45" s="223"/>
      <c r="B45" s="224" t="s">
        <v>167</v>
      </c>
      <c r="C45" s="225"/>
      <c r="D45" s="675">
        <f>'Costi diretti'!F81</f>
        <v>3823976</v>
      </c>
      <c r="E45" s="215"/>
      <c r="F45" s="686">
        <f>'Costi diretti'!B81</f>
        <v>2677000</v>
      </c>
      <c r="G45" s="236"/>
      <c r="H45" s="227" t="s">
        <v>167</v>
      </c>
      <c r="I45" s="227"/>
      <c r="J45" s="216"/>
      <c r="K45" s="223"/>
      <c r="L45" s="224" t="s">
        <v>167</v>
      </c>
      <c r="M45" s="225"/>
      <c r="N45" s="675">
        <f>'Costi diretti'!F30</f>
        <v>6406200</v>
      </c>
      <c r="O45" s="215"/>
      <c r="P45" s="686">
        <f>'Costi diretti'!B30</f>
        <v>6289717</v>
      </c>
      <c r="Q45" s="236"/>
      <c r="R45" s="227" t="s">
        <v>167</v>
      </c>
      <c r="S45" s="227"/>
    </row>
    <row r="46" spans="1:19" ht="15.05">
      <c r="A46" s="218"/>
      <c r="B46" s="229" t="s">
        <v>168</v>
      </c>
      <c r="C46" s="224"/>
      <c r="D46" s="676">
        <f>'Costi diretti'!F79</f>
        <v>7.2622999999999993E-2</v>
      </c>
      <c r="E46" s="215"/>
      <c r="F46" s="687">
        <f>'Costi diretti'!B79</f>
        <v>7.2622999999999993E-2</v>
      </c>
      <c r="G46" s="238"/>
      <c r="H46" s="230" t="s">
        <v>168</v>
      </c>
      <c r="I46" s="227"/>
      <c r="J46" s="216"/>
      <c r="K46" s="218"/>
      <c r="L46" s="229" t="s">
        <v>168</v>
      </c>
      <c r="M46" s="224"/>
      <c r="N46" s="676">
        <f>'Costi diretti'!F28</f>
        <v>7.2622999999999993E-2</v>
      </c>
      <c r="O46" s="215"/>
      <c r="P46" s="687">
        <f>'Costi diretti'!B28</f>
        <v>7.2622999999999993E-2</v>
      </c>
      <c r="Q46" s="238"/>
      <c r="R46" s="230" t="s">
        <v>168</v>
      </c>
      <c r="S46" s="227"/>
    </row>
    <row r="47" spans="1:19" ht="15.05">
      <c r="A47" s="218"/>
      <c r="B47" s="223" t="s">
        <v>169</v>
      </c>
      <c r="C47" s="224"/>
      <c r="D47" s="677">
        <f>D48*D49</f>
        <v>60472.356464000004</v>
      </c>
      <c r="E47" s="215"/>
      <c r="F47" s="690">
        <f>F48*F49</f>
        <v>42334.078000000001</v>
      </c>
      <c r="G47" s="236"/>
      <c r="H47" s="234" t="s">
        <v>174</v>
      </c>
      <c r="I47" s="227"/>
      <c r="J47" s="216"/>
      <c r="K47" s="218"/>
      <c r="L47" s="223" t="s">
        <v>169</v>
      </c>
      <c r="M47" s="224"/>
      <c r="N47" s="677">
        <f>N48*N49</f>
        <v>101307.64680000002</v>
      </c>
      <c r="O47" s="215"/>
      <c r="P47" s="690">
        <f>P48*P49</f>
        <v>99465.584638000015</v>
      </c>
      <c r="Q47" s="236"/>
      <c r="R47" s="234" t="s">
        <v>174</v>
      </c>
      <c r="S47" s="227"/>
    </row>
    <row r="48" spans="1:19" ht="15.05">
      <c r="A48" s="223"/>
      <c r="B48" s="224" t="s">
        <v>167</v>
      </c>
      <c r="C48" s="225"/>
      <c r="D48" s="675">
        <f>'Costi diretti'!F86</f>
        <v>3823976</v>
      </c>
      <c r="E48" s="215"/>
      <c r="F48" s="686">
        <f>'Costi diretti'!B86</f>
        <v>2677000</v>
      </c>
      <c r="G48" s="236"/>
      <c r="H48" s="227" t="s">
        <v>167</v>
      </c>
      <c r="I48" s="227"/>
      <c r="J48" s="216"/>
      <c r="K48" s="223"/>
      <c r="L48" s="224" t="s">
        <v>167</v>
      </c>
      <c r="M48" s="225"/>
      <c r="N48" s="675">
        <f>'Costi diretti'!F35</f>
        <v>6406200</v>
      </c>
      <c r="O48" s="215"/>
      <c r="P48" s="686">
        <f>'Costi diretti'!B35</f>
        <v>6289717</v>
      </c>
      <c r="Q48" s="236"/>
      <c r="R48" s="227" t="s">
        <v>167</v>
      </c>
      <c r="S48" s="227"/>
    </row>
    <row r="49" spans="1:19" ht="15.05">
      <c r="A49" s="218"/>
      <c r="B49" s="229" t="s">
        <v>168</v>
      </c>
      <c r="C49" s="224"/>
      <c r="D49" s="676">
        <f>'Costi diretti'!F84</f>
        <v>1.5814000000000002E-2</v>
      </c>
      <c r="E49" s="215"/>
      <c r="F49" s="687">
        <f>'Costi diretti'!B84</f>
        <v>1.5814000000000002E-2</v>
      </c>
      <c r="G49" s="238"/>
      <c r="H49" s="230" t="s">
        <v>168</v>
      </c>
      <c r="I49" s="227"/>
      <c r="J49" s="216"/>
      <c r="K49" s="218"/>
      <c r="L49" s="229" t="s">
        <v>168</v>
      </c>
      <c r="M49" s="224"/>
      <c r="N49" s="676">
        <f>'Costi diretti'!F33</f>
        <v>1.5814000000000002E-2</v>
      </c>
      <c r="O49" s="215"/>
      <c r="P49" s="687">
        <f>'Costi diretti'!B33</f>
        <v>1.5814000000000002E-2</v>
      </c>
      <c r="Q49" s="238"/>
      <c r="R49" s="230" t="s">
        <v>168</v>
      </c>
      <c r="S49" s="227"/>
    </row>
    <row r="50" spans="1:19" ht="15.05">
      <c r="A50" s="218"/>
      <c r="B50" s="223" t="s">
        <v>177</v>
      </c>
      <c r="C50" s="224"/>
      <c r="D50" s="677">
        <f>D51*D52</f>
        <v>93783.011400000003</v>
      </c>
      <c r="E50" s="215"/>
      <c r="F50" s="690">
        <f>F51*F52</f>
        <v>65653.425000000003</v>
      </c>
      <c r="G50" s="236"/>
      <c r="H50" s="234" t="s">
        <v>173</v>
      </c>
      <c r="I50" s="227"/>
      <c r="J50" s="216"/>
      <c r="K50" s="218"/>
      <c r="L50" s="223" t="s">
        <v>177</v>
      </c>
      <c r="M50" s="224"/>
      <c r="N50" s="677">
        <f>N51*N52</f>
        <v>157112.05500000002</v>
      </c>
      <c r="O50" s="215"/>
      <c r="P50" s="690">
        <f>P51*P52</f>
        <v>154255.30942500001</v>
      </c>
      <c r="Q50" s="236"/>
      <c r="R50" s="234" t="s">
        <v>173</v>
      </c>
      <c r="S50" s="227"/>
    </row>
    <row r="51" spans="1:19" ht="15.05">
      <c r="A51" s="223"/>
      <c r="B51" s="224" t="s">
        <v>167</v>
      </c>
      <c r="C51" s="225"/>
      <c r="D51" s="675">
        <f>'Costi diretti'!F91</f>
        <v>3823976</v>
      </c>
      <c r="E51" s="215"/>
      <c r="F51" s="686">
        <f>'Costi diretti'!B91</f>
        <v>2677000</v>
      </c>
      <c r="G51" s="236"/>
      <c r="H51" s="227" t="s">
        <v>167</v>
      </c>
      <c r="I51" s="227"/>
      <c r="J51" s="216"/>
      <c r="K51" s="223"/>
      <c r="L51" s="224" t="s">
        <v>167</v>
      </c>
      <c r="M51" s="225"/>
      <c r="N51" s="675">
        <f>'Costi diretti'!F40</f>
        <v>6406200</v>
      </c>
      <c r="O51" s="215"/>
      <c r="P51" s="686">
        <f>'Costi diretti'!B40</f>
        <v>6289717</v>
      </c>
      <c r="Q51" s="236"/>
      <c r="R51" s="227" t="s">
        <v>167</v>
      </c>
      <c r="S51" s="227"/>
    </row>
    <row r="52" spans="1:19" ht="15.05">
      <c r="A52" s="218"/>
      <c r="B52" s="229" t="s">
        <v>168</v>
      </c>
      <c r="C52" s="224"/>
      <c r="D52" s="676">
        <f>'Costi diretti'!F89</f>
        <v>2.4525000000000002E-2</v>
      </c>
      <c r="E52" s="215"/>
      <c r="F52" s="687">
        <f>'Costi diretti'!B89</f>
        <v>2.4525000000000002E-2</v>
      </c>
      <c r="G52" s="238"/>
      <c r="H52" s="230" t="s">
        <v>168</v>
      </c>
      <c r="I52" s="227"/>
      <c r="J52" s="216"/>
      <c r="K52" s="218"/>
      <c r="L52" s="229" t="s">
        <v>168</v>
      </c>
      <c r="M52" s="224"/>
      <c r="N52" s="676">
        <f>'Costi diretti'!F38</f>
        <v>2.4525000000000002E-2</v>
      </c>
      <c r="O52" s="215"/>
      <c r="P52" s="687">
        <f>'Costi diretti'!B38</f>
        <v>2.4525000000000002E-2</v>
      </c>
      <c r="Q52" s="238"/>
      <c r="R52" s="230" t="s">
        <v>168</v>
      </c>
      <c r="S52" s="227"/>
    </row>
    <row r="53" spans="1:19" ht="15.05">
      <c r="A53" s="218"/>
      <c r="B53" s="223" t="s">
        <v>178</v>
      </c>
      <c r="C53" s="224"/>
      <c r="D53" s="677">
        <f>D54*D55</f>
        <v>0</v>
      </c>
      <c r="E53" s="215"/>
      <c r="F53" s="690">
        <f>F54*F55</f>
        <v>0</v>
      </c>
      <c r="G53" s="236"/>
      <c r="H53" s="234" t="s">
        <v>175</v>
      </c>
      <c r="I53" s="227"/>
      <c r="J53" s="216"/>
      <c r="K53" s="218"/>
      <c r="L53" s="223" t="s">
        <v>178</v>
      </c>
      <c r="M53" s="224"/>
      <c r="N53" s="677">
        <f>N54*N55</f>
        <v>0</v>
      </c>
      <c r="O53" s="215"/>
      <c r="P53" s="690">
        <f>P54*P55</f>
        <v>0</v>
      </c>
      <c r="Q53" s="236"/>
      <c r="R53" s="234" t="s">
        <v>175</v>
      </c>
      <c r="S53" s="227"/>
    </row>
    <row r="54" spans="1:19" ht="15.05">
      <c r="A54" s="223"/>
      <c r="B54" s="224" t="s">
        <v>167</v>
      </c>
      <c r="C54" s="225"/>
      <c r="D54" s="675">
        <f>'Costi diretti'!F96</f>
        <v>3823976</v>
      </c>
      <c r="E54" s="215"/>
      <c r="F54" s="686">
        <f>'Costi diretti'!B96</f>
        <v>2677000</v>
      </c>
      <c r="G54" s="236"/>
      <c r="H54" s="227" t="s">
        <v>167</v>
      </c>
      <c r="I54" s="227"/>
      <c r="J54" s="216"/>
      <c r="K54" s="223"/>
      <c r="L54" s="224" t="s">
        <v>167</v>
      </c>
      <c r="M54" s="225"/>
      <c r="N54" s="675">
        <f>'Costi diretti'!F45</f>
        <v>6406200</v>
      </c>
      <c r="O54" s="215"/>
      <c r="P54" s="686">
        <f>'Costi diretti'!B45</f>
        <v>6289717</v>
      </c>
      <c r="Q54" s="236"/>
      <c r="R54" s="227" t="s">
        <v>167</v>
      </c>
      <c r="S54" s="227"/>
    </row>
    <row r="55" spans="1:19" ht="15.05">
      <c r="A55" s="218"/>
      <c r="B55" s="229" t="s">
        <v>168</v>
      </c>
      <c r="C55" s="224"/>
      <c r="D55" s="676">
        <f>'Costi diretti'!F94</f>
        <v>0</v>
      </c>
      <c r="E55" s="215"/>
      <c r="F55" s="687">
        <f>'Costi diretti'!B94</f>
        <v>0</v>
      </c>
      <c r="G55" s="238"/>
      <c r="H55" s="230" t="s">
        <v>168</v>
      </c>
      <c r="I55" s="227"/>
      <c r="J55" s="216"/>
      <c r="K55" s="218"/>
      <c r="L55" s="229" t="s">
        <v>168</v>
      </c>
      <c r="M55" s="224"/>
      <c r="N55" s="676">
        <f>'Costi diretti'!F43</f>
        <v>0</v>
      </c>
      <c r="O55" s="215"/>
      <c r="P55" s="687">
        <f>'Costi diretti'!B43</f>
        <v>0</v>
      </c>
      <c r="Q55" s="238"/>
      <c r="R55" s="230" t="s">
        <v>168</v>
      </c>
      <c r="S55" s="227"/>
    </row>
    <row r="56" spans="1:19" ht="15.05">
      <c r="A56" s="218"/>
      <c r="B56" s="223" t="s">
        <v>179</v>
      </c>
      <c r="C56" s="224"/>
      <c r="D56" s="677">
        <f>D57*D58</f>
        <v>4665.25072</v>
      </c>
      <c r="E56" s="215"/>
      <c r="F56" s="690">
        <f>F57*F58</f>
        <v>3265.94</v>
      </c>
      <c r="G56" s="236"/>
      <c r="H56" s="245" t="s">
        <v>176</v>
      </c>
      <c r="I56" s="227"/>
      <c r="J56" s="216"/>
      <c r="K56" s="218"/>
      <c r="L56" s="223" t="s">
        <v>179</v>
      </c>
      <c r="M56" s="224"/>
      <c r="N56" s="677">
        <f>N57*N58</f>
        <v>7815.5639999999994</v>
      </c>
      <c r="O56" s="215"/>
      <c r="P56" s="690">
        <f>P57*P58</f>
        <v>7673.4547399999992</v>
      </c>
      <c r="Q56" s="236"/>
      <c r="R56" s="245" t="s">
        <v>176</v>
      </c>
      <c r="S56" s="227"/>
    </row>
    <row r="57" spans="1:19" ht="15.05">
      <c r="A57" s="223"/>
      <c r="B57" s="224" t="s">
        <v>167</v>
      </c>
      <c r="C57" s="225"/>
      <c r="D57" s="675">
        <f>'Costi diretti'!F101</f>
        <v>3823976</v>
      </c>
      <c r="E57" s="215"/>
      <c r="F57" s="686">
        <f>'Costi diretti'!B101</f>
        <v>2677000</v>
      </c>
      <c r="G57" s="236"/>
      <c r="H57" s="227" t="s">
        <v>167</v>
      </c>
      <c r="I57" s="227"/>
      <c r="J57" s="216"/>
      <c r="K57" s="223"/>
      <c r="L57" s="224" t="s">
        <v>167</v>
      </c>
      <c r="M57" s="225"/>
      <c r="N57" s="675">
        <f>'Costi diretti'!F50</f>
        <v>6406200</v>
      </c>
      <c r="O57" s="215"/>
      <c r="P57" s="686">
        <f>'Costi diretti'!B50</f>
        <v>6289717</v>
      </c>
      <c r="Q57" s="236"/>
      <c r="R57" s="227" t="s">
        <v>167</v>
      </c>
      <c r="S57" s="227"/>
    </row>
    <row r="58" spans="1:19" ht="15.05">
      <c r="A58" s="218"/>
      <c r="B58" s="229" t="s">
        <v>168</v>
      </c>
      <c r="C58" s="224"/>
      <c r="D58" s="676">
        <f>'Costi diretti'!F99</f>
        <v>1.2199999999999999E-3</v>
      </c>
      <c r="E58" s="215"/>
      <c r="F58" s="687">
        <f>'Costi diretti'!B99</f>
        <v>1.2199999999999999E-3</v>
      </c>
      <c r="G58" s="238"/>
      <c r="H58" s="230" t="s">
        <v>168</v>
      </c>
      <c r="I58" s="227"/>
      <c r="J58" s="216"/>
      <c r="K58" s="218"/>
      <c r="L58" s="229" t="s">
        <v>168</v>
      </c>
      <c r="M58" s="224"/>
      <c r="N58" s="676">
        <f>'Costi diretti'!F48</f>
        <v>1.2199999999999999E-3</v>
      </c>
      <c r="O58" s="215"/>
      <c r="P58" s="687">
        <f>'Costi diretti'!B48</f>
        <v>1.2199999999999999E-3</v>
      </c>
      <c r="Q58" s="238"/>
      <c r="R58" s="230" t="s">
        <v>168</v>
      </c>
      <c r="S58" s="227"/>
    </row>
    <row r="59" spans="1:19" ht="15.05">
      <c r="A59" s="218"/>
      <c r="B59" s="239"/>
      <c r="C59" s="224"/>
      <c r="D59" s="237"/>
      <c r="E59" s="215"/>
      <c r="F59" s="691"/>
      <c r="G59" s="238"/>
      <c r="H59" s="240"/>
      <c r="I59" s="227"/>
      <c r="J59" s="216"/>
      <c r="K59" s="218"/>
      <c r="L59" s="239"/>
      <c r="M59" s="224"/>
      <c r="N59" s="237"/>
      <c r="O59" s="215"/>
      <c r="P59" s="691"/>
      <c r="Q59" s="238"/>
      <c r="R59" s="240"/>
      <c r="S59" s="227"/>
    </row>
    <row r="60" spans="1:19" ht="15.05">
      <c r="A60" s="789" t="s">
        <v>140</v>
      </c>
      <c r="B60" s="799"/>
      <c r="C60" s="225" t="s">
        <v>161</v>
      </c>
      <c r="D60" s="678">
        <f>'Struttura Ricavi'!B40</f>
        <v>1837976</v>
      </c>
      <c r="E60" s="241"/>
      <c r="F60" s="692">
        <f>'Struttura Ricavi'!B54</f>
        <v>752000</v>
      </c>
      <c r="G60" s="222" t="s">
        <v>161</v>
      </c>
      <c r="H60" s="800" t="s">
        <v>140</v>
      </c>
      <c r="I60" s="801"/>
      <c r="J60" s="216"/>
      <c r="K60" s="789" t="s">
        <v>140</v>
      </c>
      <c r="L60" s="799"/>
      <c r="M60" s="225" t="s">
        <v>161</v>
      </c>
      <c r="N60" s="678">
        <f>'Struttura Ricavi'!B10</f>
        <v>2496200</v>
      </c>
      <c r="O60" s="241"/>
      <c r="P60" s="692">
        <f>'Struttura Ricavi'!B24</f>
        <v>2399717</v>
      </c>
      <c r="Q60" s="222" t="s">
        <v>161</v>
      </c>
      <c r="R60" s="800" t="s">
        <v>140</v>
      </c>
      <c r="S60" s="801"/>
    </row>
    <row r="61" spans="1:19" ht="15.05">
      <c r="A61" s="218"/>
      <c r="B61" s="239"/>
      <c r="C61" s="224"/>
      <c r="D61" s="678"/>
      <c r="E61" s="241"/>
      <c r="F61" s="692"/>
      <c r="G61" s="238"/>
      <c r="H61" s="240"/>
      <c r="I61" s="227"/>
      <c r="J61" s="216"/>
      <c r="K61" s="218"/>
      <c r="L61" s="239"/>
      <c r="M61" s="224"/>
      <c r="N61" s="678"/>
      <c r="O61" s="241"/>
      <c r="P61" s="692"/>
      <c r="Q61" s="238"/>
      <c r="R61" s="240"/>
      <c r="S61" s="227"/>
    </row>
    <row r="62" spans="1:19" ht="15.05">
      <c r="A62" s="789" t="s">
        <v>186</v>
      </c>
      <c r="B62" s="799"/>
      <c r="C62" s="225" t="s">
        <v>161</v>
      </c>
      <c r="D62" s="678">
        <f>'Struttura Ricavi'!B45</f>
        <v>1986000</v>
      </c>
      <c r="E62" s="241"/>
      <c r="F62" s="692">
        <f>'Struttura Ricavi'!B59</f>
        <v>1925000</v>
      </c>
      <c r="G62" s="222" t="s">
        <v>161</v>
      </c>
      <c r="H62" s="800" t="s">
        <v>186</v>
      </c>
      <c r="I62" s="801"/>
      <c r="J62" s="216"/>
      <c r="K62" s="789" t="s">
        <v>186</v>
      </c>
      <c r="L62" s="799"/>
      <c r="M62" s="225" t="s">
        <v>161</v>
      </c>
      <c r="N62" s="678">
        <f>'Struttura Ricavi'!B15</f>
        <v>3910000</v>
      </c>
      <c r="O62" s="241"/>
      <c r="P62" s="692">
        <f>'Struttura Ricavi'!B29</f>
        <v>3890000</v>
      </c>
      <c r="Q62" s="222" t="s">
        <v>161</v>
      </c>
      <c r="R62" s="800" t="s">
        <v>186</v>
      </c>
      <c r="S62" s="801"/>
    </row>
    <row r="63" spans="1:19" ht="15.05">
      <c r="A63" s="223"/>
      <c r="B63" s="243"/>
      <c r="C63" s="225"/>
      <c r="D63" s="235"/>
      <c r="E63" s="241"/>
      <c r="F63" s="693"/>
      <c r="G63" s="222"/>
      <c r="H63" s="234"/>
      <c r="I63" s="244"/>
      <c r="J63" s="216"/>
      <c r="K63" s="223"/>
      <c r="L63" s="243"/>
      <c r="M63" s="225"/>
      <c r="N63" s="235"/>
      <c r="O63" s="241"/>
      <c r="P63" s="693"/>
      <c r="Q63" s="222"/>
      <c r="R63" s="234"/>
      <c r="S63" s="244"/>
    </row>
    <row r="64" spans="1:19" ht="15.05">
      <c r="A64" s="789" t="s">
        <v>162</v>
      </c>
      <c r="B64" s="799"/>
      <c r="C64" s="225" t="s">
        <v>161</v>
      </c>
      <c r="D64" s="679">
        <f>'Struttura Ricavi'!B41</f>
        <v>0.7</v>
      </c>
      <c r="E64" s="241"/>
      <c r="F64" s="694">
        <f>'Struttura Ricavi'!B55</f>
        <v>0.8</v>
      </c>
      <c r="G64" s="222" t="s">
        <v>161</v>
      </c>
      <c r="H64" s="791" t="s">
        <v>162</v>
      </c>
      <c r="I64" s="802"/>
      <c r="J64" s="216"/>
      <c r="K64" s="789" t="s">
        <v>162</v>
      </c>
      <c r="L64" s="799"/>
      <c r="M64" s="225" t="s">
        <v>161</v>
      </c>
      <c r="N64" s="679">
        <f>'Struttura Ricavi'!B11</f>
        <v>0.7</v>
      </c>
      <c r="O64" s="241"/>
      <c r="P64" s="694">
        <f>'Struttura Ricavi'!B25</f>
        <v>0.8</v>
      </c>
      <c r="Q64" s="222" t="s">
        <v>161</v>
      </c>
      <c r="R64" s="791" t="s">
        <v>162</v>
      </c>
      <c r="S64" s="802"/>
    </row>
    <row r="65" spans="1:19" ht="15.05">
      <c r="A65" s="224"/>
      <c r="B65" s="224"/>
      <c r="C65" s="225"/>
      <c r="D65" s="235"/>
      <c r="E65" s="241"/>
      <c r="F65" s="693"/>
      <c r="G65" s="222"/>
      <c r="H65" s="219"/>
      <c r="I65" s="219"/>
      <c r="J65" s="216"/>
      <c r="K65" s="224"/>
      <c r="L65" s="224"/>
      <c r="M65" s="225"/>
      <c r="N65" s="235"/>
      <c r="O65" s="241"/>
      <c r="P65" s="693"/>
      <c r="Q65" s="222"/>
      <c r="R65" s="219"/>
      <c r="S65" s="219"/>
    </row>
    <row r="66" spans="1:19" ht="15.05">
      <c r="A66" s="789" t="s">
        <v>160</v>
      </c>
      <c r="B66" s="795"/>
      <c r="C66" s="225" t="s">
        <v>161</v>
      </c>
      <c r="D66" s="677">
        <f>'Scheda Ricavi'!B18</f>
        <v>1286583.2</v>
      </c>
      <c r="E66" s="241"/>
      <c r="F66" s="690">
        <f>'Scheda Ricavi'!B22</f>
        <v>601600</v>
      </c>
      <c r="G66" s="222" t="s">
        <v>161</v>
      </c>
      <c r="H66" s="791" t="s">
        <v>160</v>
      </c>
      <c r="I66" s="796"/>
      <c r="J66" s="216"/>
      <c r="K66" s="789" t="s">
        <v>160</v>
      </c>
      <c r="L66" s="795"/>
      <c r="M66" s="225" t="s">
        <v>161</v>
      </c>
      <c r="N66" s="677">
        <f>'Scheda Ricavi'!B5</f>
        <v>1747340</v>
      </c>
      <c r="O66" s="241"/>
      <c r="P66" s="690">
        <f>'Scheda Ricavi'!B9</f>
        <v>1919773.6</v>
      </c>
      <c r="Q66" s="222" t="s">
        <v>161</v>
      </c>
      <c r="R66" s="791" t="s">
        <v>160</v>
      </c>
      <c r="S66" s="796"/>
    </row>
    <row r="67" spans="1:19" ht="15.05">
      <c r="A67" s="223"/>
      <c r="B67" s="224"/>
      <c r="C67" s="225"/>
      <c r="D67" s="677"/>
      <c r="E67" s="241"/>
      <c r="F67" s="690"/>
      <c r="G67" s="222"/>
      <c r="H67" s="245"/>
      <c r="I67" s="246"/>
      <c r="J67" s="216"/>
      <c r="K67" s="223"/>
      <c r="L67" s="224"/>
      <c r="M67" s="225"/>
      <c r="N67" s="677"/>
      <c r="O67" s="241"/>
      <c r="P67" s="690"/>
      <c r="Q67" s="222"/>
      <c r="R67" s="245"/>
      <c r="S67" s="246"/>
    </row>
    <row r="68" spans="1:19" ht="15.05">
      <c r="A68" s="789" t="s">
        <v>223</v>
      </c>
      <c r="B68" s="795"/>
      <c r="C68" s="225" t="s">
        <v>161</v>
      </c>
      <c r="D68" s="677">
        <f>'Scheda Ricavi'!B18/D60</f>
        <v>0.7</v>
      </c>
      <c r="E68" s="241"/>
      <c r="F68" s="690">
        <f>'Scheda Ricavi'!B22/F60</f>
        <v>0.8</v>
      </c>
      <c r="G68" s="222" t="s">
        <v>161</v>
      </c>
      <c r="H68" s="791" t="s">
        <v>160</v>
      </c>
      <c r="I68" s="796"/>
      <c r="J68" s="216"/>
      <c r="K68" s="789" t="s">
        <v>223</v>
      </c>
      <c r="L68" s="795"/>
      <c r="M68" s="225" t="s">
        <v>161</v>
      </c>
      <c r="N68" s="677">
        <f>'Scheda Ricavi'!B5/N60</f>
        <v>0.7</v>
      </c>
      <c r="O68" s="241"/>
      <c r="P68" s="690">
        <f>P66/P60</f>
        <v>0.8</v>
      </c>
      <c r="Q68" s="222" t="s">
        <v>161</v>
      </c>
      <c r="R68" s="791" t="s">
        <v>223</v>
      </c>
      <c r="S68" s="796"/>
    </row>
    <row r="69" spans="1:19" ht="15.05">
      <c r="A69" s="218"/>
      <c r="B69" s="239"/>
      <c r="C69" s="224"/>
      <c r="D69" s="232"/>
      <c r="E69" s="215"/>
      <c r="F69" s="233"/>
      <c r="G69" s="236"/>
      <c r="H69" s="218"/>
      <c r="I69" s="218"/>
      <c r="J69" s="216"/>
      <c r="K69" s="218"/>
      <c r="L69" s="239"/>
      <c r="M69" s="224"/>
      <c r="N69" s="232"/>
      <c r="O69" s="215"/>
      <c r="P69" s="233"/>
      <c r="Q69" s="236"/>
      <c r="R69" s="218"/>
      <c r="S69" s="218"/>
    </row>
    <row r="70" spans="1:19" ht="14.4">
      <c r="A70" s="803" t="s">
        <v>181</v>
      </c>
      <c r="B70" s="803"/>
      <c r="C70" s="803"/>
      <c r="D70" s="803"/>
      <c r="E70" s="215"/>
      <c r="F70" s="812" t="s">
        <v>181</v>
      </c>
      <c r="G70" s="812"/>
      <c r="H70" s="812"/>
      <c r="I70" s="812"/>
      <c r="J70" s="216"/>
      <c r="K70" s="803" t="s">
        <v>181</v>
      </c>
      <c r="L70" s="803"/>
      <c r="M70" s="803"/>
      <c r="N70" s="803"/>
      <c r="O70" s="215"/>
      <c r="P70" s="812" t="s">
        <v>181</v>
      </c>
      <c r="Q70" s="812"/>
      <c r="R70" s="812"/>
      <c r="S70" s="812"/>
    </row>
    <row r="71" spans="1:19" ht="14.4">
      <c r="A71" s="247"/>
      <c r="B71" s="247"/>
      <c r="C71" s="247"/>
      <c r="D71" s="247"/>
      <c r="E71" s="215"/>
      <c r="F71" s="249"/>
      <c r="G71" s="249"/>
      <c r="H71" s="249"/>
      <c r="I71" s="249"/>
      <c r="J71" s="216"/>
      <c r="K71" s="247"/>
      <c r="L71" s="247"/>
      <c r="M71" s="247"/>
      <c r="N71" s="247"/>
      <c r="O71" s="215"/>
      <c r="P71" s="249"/>
      <c r="Q71" s="249"/>
      <c r="R71" s="249"/>
      <c r="S71" s="249"/>
    </row>
    <row r="72" spans="1:19" ht="15.05">
      <c r="A72" s="247"/>
      <c r="B72" s="223" t="s">
        <v>234</v>
      </c>
      <c r="C72" s="225" t="s">
        <v>161</v>
      </c>
      <c r="D72" s="680">
        <f>'Struttura Costi AZ. B'!I51</f>
        <v>3571942.6639819476</v>
      </c>
      <c r="E72" s="215"/>
      <c r="F72" s="706">
        <f>'Struttura Costi AZ. B'!I52</f>
        <v>3553386.448982053</v>
      </c>
      <c r="G72" s="222" t="s">
        <v>161</v>
      </c>
      <c r="H72" s="791" t="s">
        <v>234</v>
      </c>
      <c r="I72" s="792"/>
      <c r="J72" s="216"/>
      <c r="K72" s="247"/>
      <c r="L72" s="223" t="s">
        <v>234</v>
      </c>
      <c r="M72" s="225" t="s">
        <v>161</v>
      </c>
      <c r="N72" s="680">
        <f>'Struttura Costi AZ. A'!I51</f>
        <v>9465587.4996240176</v>
      </c>
      <c r="O72" s="215"/>
      <c r="P72" s="706">
        <f>'Struttura Costi AZ. A'!I52</f>
        <v>9493983.168921981</v>
      </c>
      <c r="Q72" s="222" t="s">
        <v>161</v>
      </c>
      <c r="R72" s="791" t="s">
        <v>234</v>
      </c>
      <c r="S72" s="792"/>
    </row>
    <row r="73" spans="1:19" ht="15.05">
      <c r="A73" s="247"/>
      <c r="B73" s="223"/>
      <c r="C73" s="223"/>
      <c r="D73" s="680"/>
      <c r="E73" s="215"/>
      <c r="F73" s="706"/>
      <c r="G73" s="222"/>
      <c r="H73" s="245"/>
      <c r="I73" s="246"/>
      <c r="J73" s="216"/>
      <c r="K73" s="247"/>
      <c r="L73" s="223"/>
      <c r="M73" s="223"/>
      <c r="N73" s="680"/>
      <c r="O73" s="215"/>
      <c r="P73" s="706"/>
      <c r="Q73" s="222"/>
      <c r="R73" s="245"/>
      <c r="S73" s="246"/>
    </row>
    <row r="74" spans="1:19" ht="15.05">
      <c r="A74" s="247"/>
      <c r="B74" s="223" t="s">
        <v>236</v>
      </c>
      <c r="C74" s="225" t="s">
        <v>161</v>
      </c>
      <c r="D74" s="680">
        <f>D72/('Struttura Ricavi'!B35+'Struttura Ricavi'!B40+'Struttura Ricavi'!B44+'Struttura Ricavi'!B45)</f>
        <v>0.47098549151288815</v>
      </c>
      <c r="E74" s="215"/>
      <c r="F74" s="706">
        <f>F72/('Struttura Ricavi'!B49+'Struttura Ricavi'!B54+'Struttura Ricavi'!B58+'Struttura Ricavi'!B59)</f>
        <v>0.67561297632513606</v>
      </c>
      <c r="G74" s="222" t="s">
        <v>161</v>
      </c>
      <c r="H74" s="234" t="s">
        <v>236</v>
      </c>
      <c r="I74" s="249"/>
      <c r="J74" s="216"/>
      <c r="K74" s="247"/>
      <c r="L74" s="223" t="s">
        <v>236</v>
      </c>
      <c r="M74" s="225" t="s">
        <v>161</v>
      </c>
      <c r="N74" s="680">
        <f>N72/('Struttura Ricavi'!B5+'Struttura Ricavi'!B10+'Struttura Ricavi'!B14+'Struttura Ricavi'!B15)</f>
        <v>0.37508126254795876</v>
      </c>
      <c r="O74" s="215"/>
      <c r="P74" s="706">
        <f>P72/('Struttura Ricavi'!B19+'Struttura Ricavi'!B24+'Struttura Ricavi'!B28+'Struttura Ricavi'!B29)</f>
        <v>0.43721422521518383</v>
      </c>
      <c r="Q74" s="222" t="s">
        <v>161</v>
      </c>
      <c r="R74" s="234" t="s">
        <v>236</v>
      </c>
      <c r="S74" s="249"/>
    </row>
    <row r="75" spans="1:19" ht="14.4">
      <c r="A75" s="247"/>
      <c r="B75" s="247"/>
      <c r="C75" s="247"/>
      <c r="D75" s="681"/>
      <c r="E75" s="215"/>
      <c r="F75" s="707"/>
      <c r="G75" s="249"/>
      <c r="H75" s="249"/>
      <c r="I75" s="249"/>
      <c r="J75" s="216"/>
      <c r="K75" s="247"/>
      <c r="L75" s="247"/>
      <c r="M75" s="247"/>
      <c r="N75" s="681"/>
      <c r="O75" s="215"/>
      <c r="P75" s="707"/>
      <c r="Q75" s="249"/>
      <c r="R75" s="249"/>
      <c r="S75" s="249"/>
    </row>
    <row r="76" spans="1:19" ht="15.05">
      <c r="A76" s="789" t="s">
        <v>237</v>
      </c>
      <c r="B76" s="790"/>
      <c r="C76" s="225" t="s">
        <v>161</v>
      </c>
      <c r="D76" s="682">
        <f>'Costi diretti'!F70</f>
        <v>2437374.106464</v>
      </c>
      <c r="E76" s="215"/>
      <c r="F76" s="708">
        <f>'Costi diretti'!B70</f>
        <v>2424711.9665000001</v>
      </c>
      <c r="G76" s="222" t="s">
        <v>161</v>
      </c>
      <c r="H76" s="791" t="s">
        <v>185</v>
      </c>
      <c r="I76" s="792"/>
      <c r="J76" s="216"/>
      <c r="K76" s="789" t="s">
        <v>185</v>
      </c>
      <c r="L76" s="790"/>
      <c r="M76" s="225" t="s">
        <v>161</v>
      </c>
      <c r="N76" s="682">
        <f>'Costi diretti'!F19</f>
        <v>7203446.0811219998</v>
      </c>
      <c r="O76" s="215"/>
      <c r="P76" s="708">
        <f>'Costi diretti'!B19</f>
        <v>7225055.5874239998</v>
      </c>
      <c r="Q76" s="222" t="s">
        <v>161</v>
      </c>
      <c r="R76" s="791" t="s">
        <v>185</v>
      </c>
      <c r="S76" s="792"/>
    </row>
    <row r="77" spans="1:19" ht="15.05">
      <c r="A77" s="223"/>
      <c r="B77" s="224"/>
      <c r="C77" s="225"/>
      <c r="D77" s="682"/>
      <c r="E77" s="215"/>
      <c r="F77" s="708"/>
      <c r="G77" s="222"/>
      <c r="H77" s="245"/>
      <c r="I77" s="246"/>
      <c r="J77" s="216"/>
      <c r="K77" s="223"/>
      <c r="L77" s="224"/>
      <c r="M77" s="225"/>
      <c r="N77" s="682"/>
      <c r="O77" s="215"/>
      <c r="P77" s="708"/>
      <c r="Q77" s="222"/>
      <c r="R77" s="245"/>
      <c r="S77" s="246"/>
    </row>
    <row r="78" spans="1:19" ht="15.05">
      <c r="A78" s="247"/>
      <c r="B78" s="223" t="s">
        <v>235</v>
      </c>
      <c r="C78" s="225" t="s">
        <v>161</v>
      </c>
      <c r="D78" s="683">
        <f>'Struttura Costi AZ. B'!B4/('Struttura Ricavi'!B35+'Struttura Ricavi'!B40+'Struttura Ricavi'!B44+'Struttura Ricavi'!B45)</f>
        <v>0.32138473360991648</v>
      </c>
      <c r="E78" s="215"/>
      <c r="F78" s="706">
        <f>'Struttura Costi AZ. B'!B5/('Struttura Ricavi'!B49+'Struttura Ricavi'!B54+'Struttura Ricavi'!B58+'Struttura Ricavi'!B59)</f>
        <v>0.46101567953227496</v>
      </c>
      <c r="G78" s="222" t="s">
        <v>161</v>
      </c>
      <c r="H78" s="234" t="s">
        <v>25</v>
      </c>
      <c r="I78" s="249"/>
      <c r="J78" s="216"/>
      <c r="K78" s="247"/>
      <c r="L78" s="223" t="s">
        <v>25</v>
      </c>
      <c r="M78" s="225" t="s">
        <v>161</v>
      </c>
      <c r="N78" s="683">
        <f>'Costi diretti'!F19/('Struttura Ricavi'!B5+'Struttura Ricavi'!B10+'Struttura Ricavi'!B14+'Struttura Ricavi'!B15)</f>
        <v>0.28544215041176335</v>
      </c>
      <c r="O78" s="215"/>
      <c r="P78" s="706">
        <f>'Costi diretti'!B19/('Struttura Ricavi'!B19+'Struttura Ricavi'!B24+'Struttura Ricavi'!B28+'Struttura Ricavi'!B29)</f>
        <v>0.33272621454951495</v>
      </c>
      <c r="Q78" s="222" t="s">
        <v>161</v>
      </c>
      <c r="R78" s="234" t="s">
        <v>25</v>
      </c>
      <c r="S78" s="249"/>
    </row>
    <row r="79" spans="1:19" ht="15.05">
      <c r="A79" s="247"/>
      <c r="B79" s="247"/>
      <c r="C79" s="247"/>
      <c r="D79" s="683"/>
      <c r="E79" s="215"/>
      <c r="F79" s="706"/>
      <c r="G79" s="249"/>
      <c r="H79" s="249"/>
      <c r="I79" s="249"/>
      <c r="J79" s="216"/>
      <c r="K79" s="247"/>
      <c r="L79" s="247"/>
      <c r="M79" s="247"/>
      <c r="N79" s="683"/>
      <c r="O79" s="215"/>
      <c r="P79" s="706"/>
      <c r="Q79" s="249"/>
      <c r="R79" s="249"/>
      <c r="S79" s="249"/>
    </row>
    <row r="80" spans="1:19" ht="15.05">
      <c r="A80" s="789" t="s">
        <v>187</v>
      </c>
      <c r="B80" s="790"/>
      <c r="C80" s="225" t="s">
        <v>161</v>
      </c>
      <c r="D80" s="682">
        <f>'Struttura Costi AZ. B'!E51</f>
        <v>1134568.5575179476</v>
      </c>
      <c r="E80" s="215"/>
      <c r="F80" s="708">
        <f>'Struttura Costi AZ. B'!E52</f>
        <v>1128674.4824820529</v>
      </c>
      <c r="G80" s="222" t="s">
        <v>161</v>
      </c>
      <c r="H80" s="791" t="s">
        <v>187</v>
      </c>
      <c r="I80" s="792"/>
      <c r="J80" s="216"/>
      <c r="K80" s="789" t="s">
        <v>187</v>
      </c>
      <c r="L80" s="790"/>
      <c r="M80" s="225" t="s">
        <v>161</v>
      </c>
      <c r="N80" s="682">
        <f>'Struttura Costi AZ. A'!E51</f>
        <v>2262141.4185020179</v>
      </c>
      <c r="O80" s="215"/>
      <c r="P80" s="708">
        <f>'Struttura Costi AZ. A'!E52</f>
        <v>2268927.5814979821</v>
      </c>
      <c r="Q80" s="222" t="s">
        <v>161</v>
      </c>
      <c r="R80" s="791" t="s">
        <v>187</v>
      </c>
      <c r="S80" s="792"/>
    </row>
    <row r="81" spans="1:19" ht="15.05">
      <c r="A81" s="223"/>
      <c r="B81" s="224"/>
      <c r="C81" s="225"/>
      <c r="D81" s="682"/>
      <c r="E81" s="215"/>
      <c r="F81" s="708"/>
      <c r="G81" s="222"/>
      <c r="H81" s="245"/>
      <c r="I81" s="246"/>
      <c r="J81" s="216"/>
      <c r="K81" s="223"/>
      <c r="L81" s="224"/>
      <c r="M81" s="225"/>
      <c r="N81" s="682"/>
      <c r="O81" s="215"/>
      <c r="P81" s="708"/>
      <c r="Q81" s="222"/>
      <c r="R81" s="245"/>
      <c r="S81" s="246"/>
    </row>
    <row r="82" spans="1:19" ht="15.05">
      <c r="A82" s="789" t="s">
        <v>228</v>
      </c>
      <c r="B82" s="790"/>
      <c r="C82" s="225" t="s">
        <v>161</v>
      </c>
      <c r="D82" s="682">
        <f>D80/('Struttura Ricavi'!B35+'Struttura Ricavi'!B40+'Struttura Ricavi'!B44+'Struttura Ricavi'!B45)</f>
        <v>0.1496007579029717</v>
      </c>
      <c r="E82" s="215"/>
      <c r="F82" s="708">
        <f>F80/('Struttura Ricavi'!B49+'Struttura Ricavi'!B54+'Struttura Ricavi'!B58+'Struttura Ricavi'!B59)</f>
        <v>0.21459729679286108</v>
      </c>
      <c r="G82" s="222" t="s">
        <v>161</v>
      </c>
      <c r="H82" s="791" t="s">
        <v>228</v>
      </c>
      <c r="I82" s="792"/>
      <c r="J82" s="216"/>
      <c r="K82" s="789" t="s">
        <v>239</v>
      </c>
      <c r="L82" s="790"/>
      <c r="M82" s="225" t="s">
        <v>161</v>
      </c>
      <c r="N82" s="682">
        <f>N80/('Struttura Ricavi'!B5+'Struttura Ricavi'!B10+'Struttura Ricavi'!B14+'Struttura Ricavi'!B15)</f>
        <v>8.9639112136195451E-2</v>
      </c>
      <c r="O82" s="215"/>
      <c r="P82" s="708">
        <f>P80/('Struttura Ricavi'!B19+'Struttura Ricavi'!B24+'Struttura Ricavi'!B28+'Struttura Ricavi'!B29)</f>
        <v>0.10448801066566892</v>
      </c>
      <c r="Q82" s="222" t="s">
        <v>161</v>
      </c>
      <c r="R82" s="791" t="s">
        <v>239</v>
      </c>
      <c r="S82" s="792"/>
    </row>
    <row r="83" spans="1:19" ht="15.05">
      <c r="A83" s="224"/>
      <c r="B83" s="224"/>
      <c r="C83" s="225"/>
      <c r="D83" s="684"/>
      <c r="E83" s="215"/>
      <c r="F83" s="709"/>
      <c r="G83" s="222"/>
      <c r="H83" s="246"/>
      <c r="I83" s="246"/>
      <c r="J83" s="216"/>
      <c r="K83" s="224"/>
      <c r="L83" s="224"/>
      <c r="M83" s="225"/>
      <c r="N83" s="684"/>
      <c r="O83" s="215"/>
      <c r="P83" s="709"/>
      <c r="Q83" s="222"/>
      <c r="R83" s="246"/>
      <c r="S83" s="246"/>
    </row>
    <row r="84" spans="1:19" ht="15.05">
      <c r="A84" s="789" t="s">
        <v>182</v>
      </c>
      <c r="B84" s="790"/>
      <c r="C84" s="225" t="s">
        <v>161</v>
      </c>
      <c r="D84" s="682">
        <f>'Struttura Costi AZ. B'!L51</f>
        <v>907654.84601435799</v>
      </c>
      <c r="E84" s="215"/>
      <c r="F84" s="708">
        <f>'Struttura Costi AZ. B'!L52</f>
        <v>902939.58598564228</v>
      </c>
      <c r="G84" s="222" t="s">
        <v>161</v>
      </c>
      <c r="H84" s="791" t="s">
        <v>182</v>
      </c>
      <c r="I84" s="792"/>
      <c r="J84" s="216"/>
      <c r="K84" s="789" t="s">
        <v>182</v>
      </c>
      <c r="L84" s="790"/>
      <c r="M84" s="225" t="s">
        <v>161</v>
      </c>
      <c r="N84" s="682">
        <f>'Struttura Costi AZ. A'!L51</f>
        <v>1809713.1348016143</v>
      </c>
      <c r="O84" s="215"/>
      <c r="P84" s="708">
        <f>'Struttura Costi AZ. A'!L52</f>
        <v>1815142.0651983859</v>
      </c>
      <c r="Q84" s="222" t="s">
        <v>161</v>
      </c>
      <c r="R84" s="791" t="s">
        <v>182</v>
      </c>
      <c r="S84" s="792"/>
    </row>
    <row r="85" spans="1:19" ht="15.05">
      <c r="A85" s="223"/>
      <c r="B85" s="224"/>
      <c r="C85" s="225"/>
      <c r="D85" s="682"/>
      <c r="E85" s="215"/>
      <c r="F85" s="708"/>
      <c r="G85" s="222"/>
      <c r="H85" s="245"/>
      <c r="I85" s="246"/>
      <c r="J85" s="216"/>
      <c r="K85" s="223"/>
      <c r="L85" s="224"/>
      <c r="M85" s="225"/>
      <c r="N85" s="682"/>
      <c r="O85" s="215"/>
      <c r="P85" s="708"/>
      <c r="Q85" s="222"/>
      <c r="R85" s="245"/>
      <c r="S85" s="246"/>
    </row>
    <row r="86" spans="1:19" ht="15.05">
      <c r="A86" s="789" t="s">
        <v>229</v>
      </c>
      <c r="B86" s="790"/>
      <c r="C86" s="225" t="s">
        <v>161</v>
      </c>
      <c r="D86" s="682">
        <f>D84/('Struttura Ricavi'!B35+'Struttura Ricavi'!B40+'Struttura Ricavi'!B44+'Struttura Ricavi'!B45)</f>
        <v>0.11968060632237734</v>
      </c>
      <c r="E86" s="215"/>
      <c r="F86" s="708">
        <f>F84/('Struttura Ricavi'!B49+'Struttura Ricavi'!B54+'Struttura Ricavi'!B58+'Struttura Ricavi'!B59)</f>
        <v>0.17167783743428885</v>
      </c>
      <c r="G86" s="222" t="s">
        <v>161</v>
      </c>
      <c r="H86" s="791" t="s">
        <v>229</v>
      </c>
      <c r="I86" s="792"/>
      <c r="J86" s="216"/>
      <c r="K86" s="789" t="s">
        <v>229</v>
      </c>
      <c r="L86" s="790"/>
      <c r="M86" s="225" t="s">
        <v>161</v>
      </c>
      <c r="N86" s="682">
        <f>N84/('Struttura Ricavi'!B5+'Struttura Ricavi'!B10+'Struttura Ricavi'!B14+'Struttura Ricavi'!B15)</f>
        <v>7.1711289708956363E-2</v>
      </c>
      <c r="O86" s="215"/>
      <c r="P86" s="708">
        <f>P84/('Struttura Ricavi'!B19+'Struttura Ricavi'!B24+'Struttura Ricavi'!B28+'Struttura Ricavi'!B29)</f>
        <v>8.3590408532535146E-2</v>
      </c>
      <c r="Q86" s="222" t="s">
        <v>161</v>
      </c>
      <c r="R86" s="791" t="s">
        <v>229</v>
      </c>
      <c r="S86" s="792"/>
    </row>
    <row r="87" spans="1:19" ht="15.05">
      <c r="A87" s="224"/>
      <c r="B87" s="224"/>
      <c r="C87" s="225"/>
      <c r="D87" s="684"/>
      <c r="E87" s="215"/>
      <c r="F87" s="709"/>
      <c r="G87" s="222"/>
      <c r="H87" s="246"/>
      <c r="I87" s="246"/>
      <c r="J87" s="216"/>
      <c r="K87" s="224"/>
      <c r="L87" s="224"/>
      <c r="M87" s="225"/>
      <c r="N87" s="684"/>
      <c r="O87" s="215"/>
      <c r="P87" s="709"/>
      <c r="Q87" s="222"/>
      <c r="R87" s="246"/>
      <c r="S87" s="246"/>
    </row>
    <row r="88" spans="1:19" ht="15.05">
      <c r="A88" s="789" t="s">
        <v>98</v>
      </c>
      <c r="B88" s="790"/>
      <c r="C88" s="225" t="s">
        <v>161</v>
      </c>
      <c r="D88" s="682">
        <f>'Struttura Costi AZ. B'!N51</f>
        <v>487474.82129280001</v>
      </c>
      <c r="E88" s="215"/>
      <c r="F88" s="708">
        <f>'Struttura Costi AZ. B'!N52</f>
        <v>484942.39330000005</v>
      </c>
      <c r="G88" s="222" t="s">
        <v>161</v>
      </c>
      <c r="H88" s="791" t="s">
        <v>98</v>
      </c>
      <c r="I88" s="792"/>
      <c r="J88" s="216"/>
      <c r="K88" s="789" t="s">
        <v>98</v>
      </c>
      <c r="L88" s="790"/>
      <c r="M88" s="225" t="s">
        <v>161</v>
      </c>
      <c r="N88" s="682">
        <f>'Struttura Costi AZ. A'!C62</f>
        <v>1440689.2162244001</v>
      </c>
      <c r="O88" s="215"/>
      <c r="P88" s="708">
        <f>'Struttura Costi AZ. A'!C63</f>
        <v>1445011.1174848001</v>
      </c>
      <c r="Q88" s="222" t="s">
        <v>161</v>
      </c>
      <c r="R88" s="791" t="s">
        <v>98</v>
      </c>
      <c r="S88" s="792"/>
    </row>
    <row r="89" spans="1:19" ht="15.05">
      <c r="A89" s="223"/>
      <c r="B89" s="224"/>
      <c r="C89" s="225"/>
      <c r="D89" s="682"/>
      <c r="E89" s="215"/>
      <c r="F89" s="708"/>
      <c r="G89" s="222"/>
      <c r="H89" s="245"/>
      <c r="I89" s="246"/>
      <c r="J89" s="216"/>
      <c r="K89" s="223"/>
      <c r="L89" s="224"/>
      <c r="M89" s="225"/>
      <c r="N89" s="682"/>
      <c r="O89" s="215"/>
      <c r="P89" s="708"/>
      <c r="Q89" s="222"/>
      <c r="R89" s="245"/>
      <c r="S89" s="246"/>
    </row>
    <row r="90" spans="1:19" ht="15.05">
      <c r="A90" s="789" t="s">
        <v>230</v>
      </c>
      <c r="B90" s="790"/>
      <c r="C90" s="225" t="s">
        <v>161</v>
      </c>
      <c r="D90" s="682">
        <f>D88/('Struttura Ricavi'!B35+'Struttura Ricavi'!B40+'Struttura Ricavi'!B44+'Struttura Ricavi'!B45)</f>
        <v>6.4276946721983294E-2</v>
      </c>
      <c r="E90" s="215"/>
      <c r="F90" s="708">
        <f>F88/('Struttura Ricavi'!B49+'Struttura Ricavi'!B54+'Struttura Ricavi'!B58+'Struttura Ricavi'!B59)</f>
        <v>9.2203135906455E-2</v>
      </c>
      <c r="G90" s="222" t="s">
        <v>161</v>
      </c>
      <c r="H90" s="791" t="s">
        <v>230</v>
      </c>
      <c r="I90" s="792"/>
      <c r="J90" s="216"/>
      <c r="K90" s="789" t="s">
        <v>230</v>
      </c>
      <c r="L90" s="790"/>
      <c r="M90" s="225" t="s">
        <v>161</v>
      </c>
      <c r="N90" s="682">
        <f>N88/('Struttura Ricavi'!B5+'Struttura Ricavi'!B10+'Struttura Ricavi'!B14+'Struttura Ricavi'!B15)</f>
        <v>5.7088430082352669E-2</v>
      </c>
      <c r="O90" s="215"/>
      <c r="P90" s="708">
        <f>P88/('Struttura Ricavi'!B19+'Struttura Ricavi'!B24+'Struttura Ricavi'!B28+'Struttura Ricavi'!B29)</f>
        <v>6.6545242909902991E-2</v>
      </c>
      <c r="Q90" s="222" t="s">
        <v>161</v>
      </c>
      <c r="R90" s="791" t="s">
        <v>230</v>
      </c>
      <c r="S90" s="792"/>
    </row>
    <row r="91" spans="1:19" ht="15.05">
      <c r="A91" s="223"/>
      <c r="B91" s="224"/>
      <c r="C91" s="225"/>
      <c r="D91" s="682"/>
      <c r="E91" s="215"/>
      <c r="F91" s="708"/>
      <c r="G91" s="222"/>
      <c r="H91" s="246"/>
      <c r="I91" s="246"/>
      <c r="J91" s="216"/>
      <c r="K91" s="223"/>
      <c r="L91" s="224"/>
      <c r="M91" s="225"/>
      <c r="N91" s="682"/>
      <c r="O91" s="215"/>
      <c r="P91" s="708"/>
      <c r="Q91" s="222"/>
      <c r="R91" s="246"/>
      <c r="S91" s="246"/>
    </row>
    <row r="92" spans="1:19" ht="15.05">
      <c r="A92" s="789" t="s">
        <v>183</v>
      </c>
      <c r="B92" s="790"/>
      <c r="C92" s="225" t="s">
        <v>161</v>
      </c>
      <c r="D92" s="682">
        <f>'Struttura Costi AZ. B'!S51</f>
        <v>226913.7115035895</v>
      </c>
      <c r="E92" s="215"/>
      <c r="F92" s="708">
        <f>'Struttura Costi AZ. B'!S52</f>
        <v>225734.89649641057</v>
      </c>
      <c r="G92" s="222" t="s">
        <v>161</v>
      </c>
      <c r="H92" s="791" t="s">
        <v>238</v>
      </c>
      <c r="I92" s="792"/>
      <c r="J92" s="216"/>
      <c r="K92" s="789" t="s">
        <v>183</v>
      </c>
      <c r="L92" s="790"/>
      <c r="M92" s="225" t="s">
        <v>161</v>
      </c>
      <c r="N92" s="682">
        <f>'Struttura Costi AZ. A'!S51</f>
        <v>452428.28370040358</v>
      </c>
      <c r="O92" s="215"/>
      <c r="P92" s="708">
        <f>'Struttura Costi AZ. A'!S52</f>
        <v>453785.51629959646</v>
      </c>
      <c r="Q92" s="222" t="s">
        <v>161</v>
      </c>
      <c r="R92" s="791" t="s">
        <v>183</v>
      </c>
      <c r="S92" s="792"/>
    </row>
    <row r="93" spans="1:19" ht="15.05">
      <c r="A93" s="223"/>
      <c r="B93" s="224"/>
      <c r="C93" s="225"/>
      <c r="D93" s="682"/>
      <c r="E93" s="215"/>
      <c r="F93" s="708"/>
      <c r="G93" s="222"/>
      <c r="H93" s="245"/>
      <c r="I93" s="246"/>
      <c r="J93" s="216"/>
      <c r="K93" s="223"/>
      <c r="L93" s="224"/>
      <c r="M93" s="225"/>
      <c r="N93" s="682"/>
      <c r="O93" s="215"/>
      <c r="P93" s="708"/>
      <c r="Q93" s="222"/>
      <c r="R93" s="245"/>
      <c r="S93" s="246"/>
    </row>
    <row r="94" spans="1:19" ht="15.05">
      <c r="A94" s="789" t="s">
        <v>231</v>
      </c>
      <c r="B94" s="790"/>
      <c r="C94" s="225" t="s">
        <v>161</v>
      </c>
      <c r="D94" s="682">
        <f>D92/('Struttura Ricavi'!B35+'Struttura Ricavi'!B40+'Struttura Ricavi'!B44+'Struttura Ricavi'!B45)</f>
        <v>2.9920151580594335E-2</v>
      </c>
      <c r="E94" s="215"/>
      <c r="F94" s="708">
        <f>F92/('Struttura Ricavi'!B49+'Struttura Ricavi'!B54+'Struttura Ricavi'!B58+'Struttura Ricavi'!B59)</f>
        <v>4.2919459358572214E-2</v>
      </c>
      <c r="G94" s="222" t="s">
        <v>161</v>
      </c>
      <c r="H94" s="791" t="s">
        <v>231</v>
      </c>
      <c r="I94" s="792"/>
      <c r="J94" s="216"/>
      <c r="K94" s="789" t="s">
        <v>231</v>
      </c>
      <c r="L94" s="790"/>
      <c r="M94" s="225" t="s">
        <v>161</v>
      </c>
      <c r="N94" s="682">
        <f>N92/('Struttura Ricavi'!B5+'Struttura Ricavi'!B10+'Struttura Ricavi'!B14+'Struttura Ricavi'!B15)</f>
        <v>1.7927822427239091E-2</v>
      </c>
      <c r="O94" s="215"/>
      <c r="P94" s="708">
        <f>P92/('Struttura Ricavi'!B19+'Struttura Ricavi'!B24+'Struttura Ricavi'!B28+'Struttura Ricavi'!B29)</f>
        <v>2.0897602133133786E-2</v>
      </c>
      <c r="Q94" s="222" t="s">
        <v>161</v>
      </c>
      <c r="R94" s="791" t="s">
        <v>231</v>
      </c>
      <c r="S94" s="792"/>
    </row>
    <row r="95" spans="1:19" ht="15.05">
      <c r="A95" s="223"/>
      <c r="B95" s="224"/>
      <c r="C95" s="225"/>
      <c r="D95" s="682"/>
      <c r="E95" s="215"/>
      <c r="F95" s="708"/>
      <c r="G95" s="222"/>
      <c r="H95" s="245"/>
      <c r="I95" s="246"/>
      <c r="J95" s="216"/>
      <c r="K95" s="223"/>
      <c r="L95" s="224"/>
      <c r="M95" s="225"/>
      <c r="N95" s="682"/>
      <c r="O95" s="215"/>
      <c r="P95" s="708"/>
      <c r="Q95" s="222"/>
      <c r="R95" s="245"/>
      <c r="S95" s="246"/>
    </row>
    <row r="96" spans="1:19" ht="15.05">
      <c r="A96" s="789" t="s">
        <v>184</v>
      </c>
      <c r="B96" s="790"/>
      <c r="C96" s="225" t="s">
        <v>161</v>
      </c>
      <c r="D96" s="682">
        <f>'Struttura Costi AZ. B'!U51</f>
        <v>1949899.2851712001</v>
      </c>
      <c r="E96" s="215"/>
      <c r="F96" s="708">
        <f>'Struttura Costi AZ. B'!U52</f>
        <v>1939769.5732000002</v>
      </c>
      <c r="G96" s="222" t="s">
        <v>161</v>
      </c>
      <c r="H96" s="791" t="s">
        <v>184</v>
      </c>
      <c r="I96" s="792"/>
      <c r="J96" s="216"/>
      <c r="K96" s="789" t="s">
        <v>184</v>
      </c>
      <c r="L96" s="790"/>
      <c r="M96" s="225" t="s">
        <v>161</v>
      </c>
      <c r="N96" s="682">
        <f>'Struttura Costi AZ. A'!E62</f>
        <v>5762756.8648976004</v>
      </c>
      <c r="O96" s="215"/>
      <c r="P96" s="708">
        <f>'Struttura Costi AZ. A'!E63</f>
        <v>5780044.4699392002</v>
      </c>
      <c r="Q96" s="222" t="s">
        <v>161</v>
      </c>
      <c r="R96" s="791" t="s">
        <v>184</v>
      </c>
      <c r="S96" s="792"/>
    </row>
    <row r="97" spans="1:19" ht="15.05">
      <c r="A97" s="223"/>
      <c r="B97" s="224"/>
      <c r="C97" s="225"/>
      <c r="D97" s="682"/>
      <c r="E97" s="215"/>
      <c r="F97" s="708"/>
      <c r="G97" s="222"/>
      <c r="H97" s="245"/>
      <c r="I97" s="246"/>
      <c r="J97" s="216"/>
      <c r="K97" s="223"/>
      <c r="L97" s="224"/>
      <c r="M97" s="225"/>
      <c r="N97" s="682"/>
      <c r="O97" s="215"/>
      <c r="P97" s="708"/>
      <c r="Q97" s="222"/>
      <c r="R97" s="245"/>
      <c r="S97" s="246"/>
    </row>
    <row r="98" spans="1:19" ht="15.05">
      <c r="A98" s="789" t="s">
        <v>232</v>
      </c>
      <c r="B98" s="790"/>
      <c r="C98" s="225" t="s">
        <v>161</v>
      </c>
      <c r="D98" s="682">
        <f>D96/('Struttura Ricavi'!B35+'Struttura Ricavi'!B40+'Struttura Ricavi'!B44+'Struttura Ricavi'!B45)</f>
        <v>0.25710778688793318</v>
      </c>
      <c r="E98" s="215"/>
      <c r="F98" s="708">
        <f>F96/('Struttura Ricavi'!B49+'Struttura Ricavi'!B54+'Struttura Ricavi'!B58+'Struttura Ricavi'!B59)</f>
        <v>0.36881254362582</v>
      </c>
      <c r="G98" s="222" t="s">
        <v>161</v>
      </c>
      <c r="H98" s="791" t="s">
        <v>232</v>
      </c>
      <c r="I98" s="792"/>
      <c r="J98" s="216"/>
      <c r="K98" s="789" t="s">
        <v>232</v>
      </c>
      <c r="L98" s="790"/>
      <c r="M98" s="225" t="s">
        <v>161</v>
      </c>
      <c r="N98" s="682">
        <f>N96/('Struttura Ricavi'!B5+'Struttura Ricavi'!B10+'Struttura Ricavi'!B14+'Struttura Ricavi'!B15)</f>
        <v>0.22835372032941068</v>
      </c>
      <c r="O98" s="215"/>
      <c r="P98" s="708">
        <f>P96/('Struttura Ricavi'!B19+'Struttura Ricavi'!B24+'Struttura Ricavi'!B28+'Struttura Ricavi'!B29)</f>
        <v>0.26618097163961196</v>
      </c>
      <c r="Q98" s="222" t="s">
        <v>161</v>
      </c>
      <c r="R98" s="791" t="s">
        <v>232</v>
      </c>
      <c r="S98" s="792"/>
    </row>
    <row r="99" spans="1:19" ht="15.05">
      <c r="A99" s="223"/>
      <c r="B99" s="224"/>
      <c r="C99" s="225"/>
      <c r="D99" s="682"/>
      <c r="E99" s="215"/>
      <c r="F99" s="708"/>
      <c r="G99" s="222"/>
      <c r="H99" s="245"/>
      <c r="I99" s="246"/>
      <c r="J99" s="216"/>
      <c r="K99" s="223"/>
      <c r="L99" s="224"/>
      <c r="M99" s="225"/>
      <c r="N99" s="682"/>
      <c r="O99" s="215"/>
      <c r="P99" s="708"/>
      <c r="Q99" s="222"/>
      <c r="R99" s="245"/>
      <c r="S99" s="246"/>
    </row>
    <row r="100" spans="1:19" ht="15.05">
      <c r="A100" s="789" t="s">
        <v>207</v>
      </c>
      <c r="B100" s="790"/>
      <c r="C100" s="225" t="s">
        <v>161</v>
      </c>
      <c r="D100" s="682">
        <f>'Struttura Costi AZ. B'!W51/('Struttura Ricavi'!B35+'Struttura Ricavi'!B40+'Struttura Ricavi'!B44+'Struttura Ricavi'!B45)</f>
        <v>0.28702793846852753</v>
      </c>
      <c r="E100" s="215"/>
      <c r="F100" s="708">
        <f>'Struttura Costi AZ. B'!W52/('Struttura Ricavi'!B49+'Struttura Ricavi'!B54+'Struttura Ricavi'!B58+'Struttura Ricavi'!B59)</f>
        <v>0.41173200298439222</v>
      </c>
      <c r="G100" s="222" t="s">
        <v>161</v>
      </c>
      <c r="H100" s="793" t="s">
        <v>207</v>
      </c>
      <c r="I100" s="794"/>
      <c r="J100" s="216"/>
      <c r="K100" s="789" t="s">
        <v>207</v>
      </c>
      <c r="L100" s="790"/>
      <c r="M100" s="225" t="s">
        <v>161</v>
      </c>
      <c r="N100" s="682">
        <f>'Struttura Costi AZ. A'!W51/('Struttura Ricavi'!B5+'Struttura Ricavi'!B10+'Struttura Ricavi'!B14+'Struttura Ricavi'!B15)</f>
        <v>0.24628154275664979</v>
      </c>
      <c r="O100" s="215"/>
      <c r="P100" s="708">
        <f>'Struttura Costi AZ. A'!W52/('Struttura Ricavi'!B19+'Struttura Ricavi'!B24+'Struttura Ricavi'!B28+'Struttura Ricavi'!B29)</f>
        <v>0.28707857377274576</v>
      </c>
      <c r="Q100" s="222" t="s">
        <v>161</v>
      </c>
      <c r="R100" s="793" t="s">
        <v>207</v>
      </c>
      <c r="S100" s="794"/>
    </row>
    <row r="101" spans="1:19" ht="15.05">
      <c r="A101" s="223"/>
      <c r="B101" s="224"/>
      <c r="C101" s="225"/>
      <c r="D101" s="682"/>
      <c r="E101" s="215"/>
      <c r="F101" s="708"/>
      <c r="G101" s="222"/>
      <c r="H101" s="250"/>
      <c r="I101" s="219"/>
      <c r="J101" s="216"/>
      <c r="K101" s="223"/>
      <c r="L101" s="224"/>
      <c r="M101" s="225"/>
      <c r="N101" s="682"/>
      <c r="O101" s="215"/>
      <c r="P101" s="708"/>
      <c r="Q101" s="222"/>
      <c r="R101" s="250"/>
      <c r="S101" s="219"/>
    </row>
    <row r="102" spans="1:19" ht="15.05">
      <c r="A102" s="223"/>
      <c r="B102" s="223" t="s">
        <v>233</v>
      </c>
      <c r="C102" s="225" t="s">
        <v>161</v>
      </c>
      <c r="D102" s="682">
        <f>'Struttura Costi AZ. B'!P51/('Struttura Ricavi'!B35+'Struttura Ricavi'!B40+'Struttura Ricavi'!B44+'Struttura Ricavi'!B45)</f>
        <v>0.18395755304436065</v>
      </c>
      <c r="E102" s="215"/>
      <c r="F102" s="708">
        <f>'Struttura Costi AZ. B'!P52/('Struttura Ricavi'!B49+'Struttura Ricavi'!B54+'Struttura Ricavi'!B58+'Struttura Ricavi'!B59)</f>
        <v>0.26388097334074384</v>
      </c>
      <c r="G102" s="222" t="s">
        <v>161</v>
      </c>
      <c r="H102" s="793" t="s">
        <v>233</v>
      </c>
      <c r="I102" s="794"/>
      <c r="J102" s="216"/>
      <c r="K102" s="789" t="s">
        <v>233</v>
      </c>
      <c r="L102" s="790"/>
      <c r="M102" s="225" t="s">
        <v>161</v>
      </c>
      <c r="N102" s="682">
        <f>'Struttura Costi AZ. A'!P51/('Struttura Ricavi'!B5+'Struttura Ricavi'!B10+'Struttura Ricavi'!B14+'Struttura Ricavi'!B15)</f>
        <v>0.12879971979130903</v>
      </c>
      <c r="O102" s="215"/>
      <c r="P102" s="708">
        <f>'Struttura Costi AZ. A'!P52/('Struttura Ricavi'!B19+'Struttura Ricavi'!B24+'Struttura Ricavi'!B28+'Struttura Ricavi'!B29)</f>
        <v>0.15013565144243812</v>
      </c>
      <c r="Q102" s="222" t="s">
        <v>161</v>
      </c>
      <c r="R102" s="793" t="s">
        <v>233</v>
      </c>
      <c r="S102" s="794"/>
    </row>
    <row r="103" spans="1:19" ht="15.05">
      <c r="A103" s="223"/>
      <c r="B103" s="224"/>
      <c r="C103" s="225"/>
      <c r="D103" s="682"/>
      <c r="E103" s="215"/>
      <c r="F103" s="708"/>
      <c r="G103" s="222"/>
      <c r="H103" s="250"/>
      <c r="I103" s="219"/>
      <c r="J103" s="216"/>
      <c r="K103" s="223"/>
      <c r="L103" s="224"/>
      <c r="M103" s="225"/>
      <c r="N103" s="682"/>
      <c r="O103" s="215"/>
      <c r="P103" s="708"/>
      <c r="Q103" s="222"/>
      <c r="R103" s="250"/>
      <c r="S103" s="219"/>
    </row>
    <row r="104" spans="1:19" ht="15.05">
      <c r="A104" s="223"/>
      <c r="B104" s="223" t="s">
        <v>324</v>
      </c>
      <c r="C104" s="225" t="s">
        <v>161</v>
      </c>
      <c r="D104" s="682">
        <f>(D33+D66)-D76</f>
        <v>-118790.90646399977</v>
      </c>
      <c r="E104" s="215"/>
      <c r="F104" s="682">
        <f>(F33+F66)-F76</f>
        <v>-1346486.9665000001</v>
      </c>
      <c r="G104" s="222" t="s">
        <v>161</v>
      </c>
      <c r="H104" s="250" t="s">
        <v>324</v>
      </c>
      <c r="I104" s="219"/>
      <c r="J104" s="216"/>
      <c r="K104" s="223"/>
      <c r="L104" s="223" t="s">
        <v>324</v>
      </c>
      <c r="M104" s="225" t="s">
        <v>161</v>
      </c>
      <c r="N104" s="682">
        <f>(N33+N66)-N76</f>
        <v>63832.718878000043</v>
      </c>
      <c r="O104" s="215"/>
      <c r="P104" s="708">
        <f>(P33+P66)-P76</f>
        <v>1356968.0125759998</v>
      </c>
      <c r="Q104" s="222" t="s">
        <v>161</v>
      </c>
      <c r="R104" s="250" t="s">
        <v>324</v>
      </c>
      <c r="S104" s="219"/>
    </row>
    <row r="105" spans="1:19" ht="15.05">
      <c r="A105" s="223"/>
      <c r="B105" s="224"/>
      <c r="C105" s="225"/>
      <c r="D105" s="682"/>
      <c r="E105" s="215"/>
      <c r="F105" s="708"/>
      <c r="G105" s="222"/>
      <c r="H105" s="245"/>
      <c r="I105" s="246"/>
      <c r="J105" s="216"/>
      <c r="K105" s="223"/>
      <c r="L105" s="224"/>
      <c r="M105" s="225"/>
      <c r="N105" s="682"/>
      <c r="O105" s="215"/>
      <c r="P105" s="708"/>
      <c r="Q105" s="222"/>
      <c r="R105" s="245"/>
      <c r="S105" s="246"/>
    </row>
    <row r="106" spans="1:19" ht="15.05">
      <c r="A106" s="789" t="s">
        <v>188</v>
      </c>
      <c r="B106" s="790"/>
      <c r="C106" s="225" t="s">
        <v>161</v>
      </c>
      <c r="D106" s="682">
        <f>'Struttura Costi AZ. B'!Y51</f>
        <v>141770.2033252106</v>
      </c>
      <c r="E106" s="215"/>
      <c r="F106" s="708">
        <f>'Struttura Costi AZ. B'!Y52</f>
        <v>-1087279.4696964109</v>
      </c>
      <c r="G106" s="222" t="s">
        <v>161</v>
      </c>
      <c r="H106" s="791" t="s">
        <v>188</v>
      </c>
      <c r="I106" s="792"/>
      <c r="J106" s="216"/>
      <c r="K106" s="789" t="s">
        <v>188</v>
      </c>
      <c r="L106" s="790"/>
      <c r="M106" s="225" t="s">
        <v>161</v>
      </c>
      <c r="N106" s="682">
        <f>'Struttura Costi AZ. A'!Y51</f>
        <v>1052093.6514019957</v>
      </c>
      <c r="O106" s="215"/>
      <c r="P106" s="708">
        <f>'Struttura Costi AZ. A'!Y52</f>
        <v>2348193.6137612034</v>
      </c>
      <c r="Q106" s="222" t="s">
        <v>161</v>
      </c>
      <c r="R106" s="791" t="s">
        <v>188</v>
      </c>
      <c r="S106" s="792"/>
    </row>
    <row r="107" spans="1:19" ht="15.05">
      <c r="A107" s="223"/>
      <c r="B107" s="224"/>
      <c r="C107" s="225"/>
      <c r="D107" s="682"/>
      <c r="E107" s="215"/>
      <c r="F107" s="708"/>
      <c r="G107" s="222"/>
      <c r="H107" s="245"/>
      <c r="I107" s="246"/>
      <c r="J107" s="216"/>
      <c r="K107" s="223"/>
      <c r="L107" s="224"/>
      <c r="M107" s="225"/>
      <c r="N107" s="682"/>
      <c r="O107" s="215"/>
      <c r="P107" s="708"/>
      <c r="Q107" s="222"/>
      <c r="R107" s="245"/>
      <c r="S107" s="246"/>
    </row>
    <row r="108" spans="1:19" ht="15.05">
      <c r="A108" s="789" t="s">
        <v>227</v>
      </c>
      <c r="B108" s="790"/>
      <c r="C108" s="225" t="s">
        <v>161</v>
      </c>
      <c r="D108" s="682">
        <f>D106/(D27+D60)</f>
        <v>3.9845744694514691E-2</v>
      </c>
      <c r="E108" s="215"/>
      <c r="F108" s="708">
        <f>F106/(F27+F60)</f>
        <v>-0.78362484302444035</v>
      </c>
      <c r="G108" s="222" t="s">
        <v>161</v>
      </c>
      <c r="H108" s="791" t="s">
        <v>227</v>
      </c>
      <c r="I108" s="792"/>
      <c r="J108" s="216"/>
      <c r="K108" s="789" t="s">
        <v>227</v>
      </c>
      <c r="L108" s="790"/>
      <c r="M108" s="225" t="s">
        <v>161</v>
      </c>
      <c r="N108" s="682">
        <f>N106/(N60+N27)</f>
        <v>8.9952533862318496E-2</v>
      </c>
      <c r="O108" s="215"/>
      <c r="P108" s="708">
        <f>P106/(P60+P27)</f>
        <v>0.20812306235822484</v>
      </c>
      <c r="Q108" s="222" t="s">
        <v>161</v>
      </c>
      <c r="R108" s="791" t="s">
        <v>227</v>
      </c>
      <c r="S108" s="792"/>
    </row>
    <row r="109" spans="1:19" ht="15.05">
      <c r="A109" s="223"/>
      <c r="B109" s="224"/>
      <c r="C109" s="225"/>
      <c r="D109" s="682"/>
      <c r="E109" s="215"/>
      <c r="F109" s="708"/>
      <c r="G109" s="222"/>
      <c r="H109" s="245"/>
      <c r="I109" s="246"/>
      <c r="J109" s="216"/>
      <c r="K109" s="223"/>
      <c r="L109" s="224"/>
      <c r="M109" s="225"/>
      <c r="N109" s="682"/>
      <c r="O109" s="215"/>
      <c r="P109" s="708"/>
      <c r="Q109" s="222"/>
      <c r="R109" s="245"/>
      <c r="S109" s="246"/>
    </row>
    <row r="110" spans="1:19" ht="15.05">
      <c r="A110" s="789" t="s">
        <v>190</v>
      </c>
      <c r="B110" s="790"/>
      <c r="C110" s="225" t="s">
        <v>161</v>
      </c>
      <c r="D110" s="682">
        <f>'Risultato Industriale'!F11</f>
        <v>-118790.90646399977</v>
      </c>
      <c r="E110" s="215"/>
      <c r="F110" s="708">
        <f>'Risultato Industriale'!F12</f>
        <v>-1346486.9665000001</v>
      </c>
      <c r="G110" s="222" t="s">
        <v>161</v>
      </c>
      <c r="H110" s="791" t="s">
        <v>190</v>
      </c>
      <c r="I110" s="792"/>
      <c r="J110" s="216"/>
      <c r="K110" s="789" t="s">
        <v>190</v>
      </c>
      <c r="L110" s="790"/>
      <c r="M110" s="225" t="s">
        <v>161</v>
      </c>
      <c r="N110" s="682">
        <f>'Risultato Industriale'!F4</f>
        <v>63832.718878000043</v>
      </c>
      <c r="O110" s="215"/>
      <c r="P110" s="708">
        <f>'Risultato Industriale'!F5</f>
        <v>1356968.0125759998</v>
      </c>
      <c r="Q110" s="222" t="s">
        <v>161</v>
      </c>
      <c r="R110" s="791" t="s">
        <v>190</v>
      </c>
      <c r="S110" s="792"/>
    </row>
    <row r="111" spans="1:19" ht="15.05">
      <c r="A111" s="223"/>
      <c r="B111" s="224"/>
      <c r="C111" s="225"/>
      <c r="D111" s="682"/>
      <c r="E111" s="215"/>
      <c r="F111" s="708"/>
      <c r="G111" s="222"/>
      <c r="H111" s="245"/>
      <c r="I111" s="246"/>
      <c r="J111" s="216"/>
      <c r="K111" s="223"/>
      <c r="L111" s="224"/>
      <c r="M111" s="225"/>
      <c r="N111" s="682"/>
      <c r="O111" s="215"/>
      <c r="P111" s="708"/>
      <c r="Q111" s="222"/>
      <c r="R111" s="245"/>
      <c r="S111" s="246"/>
    </row>
    <row r="112" spans="1:19" ht="15.05">
      <c r="A112" s="789" t="s">
        <v>189</v>
      </c>
      <c r="B112" s="790"/>
      <c r="C112" s="225" t="s">
        <v>161</v>
      </c>
      <c r="D112" s="682">
        <f>'Struttura Costi AZ. B'!AA51</f>
        <v>-1253359.4639819474</v>
      </c>
      <c r="E112" s="215"/>
      <c r="F112" s="708">
        <f>'Struttura Costi AZ. B'!AA52</f>
        <v>-2475161.4489820534</v>
      </c>
      <c r="G112" s="222" t="s">
        <v>161</v>
      </c>
      <c r="H112" s="791" t="s">
        <v>189</v>
      </c>
      <c r="I112" s="792"/>
      <c r="J112" s="216"/>
      <c r="K112" s="789" t="s">
        <v>189</v>
      </c>
      <c r="L112" s="790"/>
      <c r="M112" s="225" t="s">
        <v>161</v>
      </c>
      <c r="N112" s="682">
        <f>'Struttura Costi AZ. A'!AA51</f>
        <v>-2198308.6996240187</v>
      </c>
      <c r="O112" s="215"/>
      <c r="P112" s="708">
        <f>'Struttura Costi AZ. A'!AA52</f>
        <v>-911959.56892198231</v>
      </c>
      <c r="Q112" s="222" t="s">
        <v>161</v>
      </c>
      <c r="R112" s="791" t="s">
        <v>189</v>
      </c>
      <c r="S112" s="792"/>
    </row>
    <row r="113" spans="1:19" ht="15.05">
      <c r="A113" s="223"/>
      <c r="B113" s="224"/>
      <c r="C113" s="225"/>
      <c r="D113" s="235"/>
      <c r="E113" s="215"/>
      <c r="F113" s="693"/>
      <c r="G113" s="222"/>
      <c r="H113" s="245"/>
      <c r="I113" s="246"/>
      <c r="J113" s="216"/>
      <c r="K113" s="223"/>
      <c r="L113" s="224"/>
      <c r="M113" s="225"/>
      <c r="N113" s="235"/>
      <c r="O113" s="215"/>
      <c r="P113" s="693"/>
      <c r="Q113" s="222"/>
      <c r="R113" s="245"/>
      <c r="S113" s="246"/>
    </row>
    <row r="114" spans="1:19" ht="15.05">
      <c r="A114" s="789" t="s">
        <v>255</v>
      </c>
      <c r="B114" s="790"/>
      <c r="C114" s="225" t="s">
        <v>161</v>
      </c>
      <c r="D114" s="682">
        <f>'BreakEven Point AZ. B_Prodotti'!C43</f>
        <v>22816671.857482921</v>
      </c>
      <c r="E114" s="215"/>
      <c r="F114" s="708">
        <f>'BreakEven Point AZ. B_Prodotti'!C92</f>
        <v>-1376324.2007439898</v>
      </c>
      <c r="G114" s="222" t="s">
        <v>161</v>
      </c>
      <c r="H114" s="791" t="s">
        <v>255</v>
      </c>
      <c r="I114" s="792"/>
      <c r="J114" s="216"/>
      <c r="K114" s="789" t="s">
        <v>255</v>
      </c>
      <c r="L114" s="790"/>
      <c r="M114" s="225" t="s">
        <v>161</v>
      </c>
      <c r="N114" s="682">
        <f>'BreakEven Point AZ. A_Prodotti'!C43</f>
        <v>22451974.751110747</v>
      </c>
      <c r="O114" s="215"/>
      <c r="P114" s="708">
        <f>'BreakEven Point AZ. A_Prodotti'!C92</f>
        <v>11914993.461117329</v>
      </c>
      <c r="Q114" s="222" t="s">
        <v>161</v>
      </c>
      <c r="R114" s="791" t="s">
        <v>255</v>
      </c>
      <c r="S114" s="792"/>
    </row>
    <row r="115" spans="1:19" ht="15.05">
      <c r="A115" s="223"/>
      <c r="B115" s="224"/>
      <c r="C115" s="225"/>
      <c r="D115" s="218"/>
      <c r="E115" s="215"/>
      <c r="F115" s="710"/>
      <c r="G115" s="222"/>
      <c r="H115" s="245"/>
      <c r="I115" s="246"/>
      <c r="J115" s="216"/>
      <c r="K115" s="223"/>
      <c r="L115" s="224"/>
      <c r="M115" s="225"/>
      <c r="N115" s="218"/>
      <c r="O115" s="215"/>
      <c r="P115" s="710"/>
      <c r="Q115" s="222"/>
      <c r="R115" s="245"/>
      <c r="S115" s="246"/>
    </row>
    <row r="116" spans="1:19" ht="15.05">
      <c r="A116" s="789" t="s">
        <v>256</v>
      </c>
      <c r="B116" s="790"/>
      <c r="C116" s="225" t="s">
        <v>161</v>
      </c>
      <c r="D116" s="678">
        <f>'BreakEven Point AZ. B_Prodotti'!C44</f>
        <v>35013266.234655529</v>
      </c>
      <c r="E116" s="215"/>
      <c r="F116" s="692">
        <f>'BreakEven Point AZ. B_Prodotti'!C93</f>
        <v>-1771105.1297570409</v>
      </c>
      <c r="G116" s="222" t="s">
        <v>161</v>
      </c>
      <c r="H116" s="791" t="s">
        <v>256</v>
      </c>
      <c r="I116" s="792"/>
      <c r="J116" s="216"/>
      <c r="K116" s="789" t="s">
        <v>256</v>
      </c>
      <c r="L116" s="790"/>
      <c r="M116" s="225" t="s">
        <v>161</v>
      </c>
      <c r="N116" s="678">
        <f>'BreakEven Point AZ. A_Prodotti'!C44</f>
        <v>36134639.142028913</v>
      </c>
      <c r="O116" s="215"/>
      <c r="P116" s="692">
        <f>'BreakEven Point AZ. A_Prodotti'!C93</f>
        <v>15664545.513325946</v>
      </c>
      <c r="Q116" s="222" t="s">
        <v>161</v>
      </c>
      <c r="R116" s="791" t="s">
        <v>256</v>
      </c>
      <c r="S116" s="792"/>
    </row>
    <row r="117" spans="1:19" ht="15.05">
      <c r="A117" s="223"/>
      <c r="B117" s="224"/>
      <c r="C117" s="225"/>
      <c r="D117" s="235"/>
      <c r="E117" s="215"/>
      <c r="F117" s="693"/>
      <c r="G117" s="222"/>
      <c r="H117" s="245"/>
      <c r="I117" s="246"/>
      <c r="J117" s="216"/>
      <c r="K117" s="223"/>
      <c r="L117" s="224"/>
      <c r="M117" s="225"/>
      <c r="N117" s="235"/>
      <c r="O117" s="215"/>
      <c r="P117" s="693"/>
      <c r="Q117" s="222"/>
      <c r="R117" s="245"/>
      <c r="S117" s="246"/>
    </row>
    <row r="118" spans="1:19" s="210" customFormat="1" ht="15.05">
      <c r="A118" s="785" t="s">
        <v>254</v>
      </c>
      <c r="B118" s="786"/>
      <c r="C118" s="251" t="s">
        <v>161</v>
      </c>
      <c r="D118" s="252">
        <f>'BreakEven Point AZ. B_Prodotti'!C47</f>
        <v>-8.8407820161393804</v>
      </c>
      <c r="E118" s="215"/>
      <c r="F118" s="711">
        <f>'BreakEven Point AZ. B_Prodotti'!C96</f>
        <v>-0.27647216559066007</v>
      </c>
      <c r="G118" s="253" t="s">
        <v>161</v>
      </c>
      <c r="H118" s="787" t="s">
        <v>254</v>
      </c>
      <c r="I118" s="788"/>
      <c r="J118" s="254"/>
      <c r="K118" s="785" t="s">
        <v>254</v>
      </c>
      <c r="L118" s="786"/>
      <c r="M118" s="251" t="s">
        <v>161</v>
      </c>
      <c r="N118" s="252">
        <f>'BreakEven Point AZ. A_Prodotti'!C47</f>
        <v>-2.0894610443610264</v>
      </c>
      <c r="O118" s="215"/>
      <c r="P118" s="711">
        <f>'BreakEven Point AZ. A_Prodotti'!C96</f>
        <v>-0.38836642923206766</v>
      </c>
      <c r="Q118" s="253" t="s">
        <v>161</v>
      </c>
      <c r="R118" s="787" t="s">
        <v>254</v>
      </c>
      <c r="S118" s="788"/>
    </row>
    <row r="119" spans="1:19" ht="15.05">
      <c r="A119" s="223"/>
      <c r="B119" s="224"/>
      <c r="C119" s="225"/>
      <c r="D119" s="232"/>
      <c r="E119" s="215"/>
      <c r="F119" s="688"/>
      <c r="G119" s="222"/>
      <c r="H119" s="246"/>
      <c r="I119" s="246"/>
      <c r="J119" s="216"/>
      <c r="K119" s="223"/>
      <c r="L119" s="224"/>
      <c r="M119" s="225"/>
      <c r="N119" s="232"/>
      <c r="O119" s="215"/>
      <c r="P119" s="688"/>
      <c r="Q119" s="222"/>
      <c r="R119" s="246"/>
      <c r="S119" s="246"/>
    </row>
    <row r="121" spans="1:19">
      <c r="B121" s="166"/>
      <c r="D121" s="166"/>
      <c r="F121" s="166"/>
    </row>
    <row r="122" spans="1:19">
      <c r="D122" s="166"/>
      <c r="H122" s="166"/>
      <c r="L122" s="166"/>
      <c r="R122" s="166"/>
    </row>
    <row r="123" spans="1:19">
      <c r="D123" s="166"/>
      <c r="H123" s="166"/>
      <c r="L123" s="166"/>
      <c r="R123" s="166"/>
    </row>
  </sheetData>
  <mergeCells count="155">
    <mergeCell ref="A33:B33"/>
    <mergeCell ref="H33:I33"/>
    <mergeCell ref="R39:S39"/>
    <mergeCell ref="R33:S33"/>
    <mergeCell ref="A92:B92"/>
    <mergeCell ref="K84:L84"/>
    <mergeCell ref="K80:L80"/>
    <mergeCell ref="K82:L82"/>
    <mergeCell ref="R82:S82"/>
    <mergeCell ref="K76:L76"/>
    <mergeCell ref="K70:N70"/>
    <mergeCell ref="R86:S86"/>
    <mergeCell ref="A90:B90"/>
    <mergeCell ref="H90:I90"/>
    <mergeCell ref="K90:L90"/>
    <mergeCell ref="R90:S90"/>
    <mergeCell ref="K88:L88"/>
    <mergeCell ref="R88:S88"/>
    <mergeCell ref="P70:S70"/>
    <mergeCell ref="K60:L60"/>
    <mergeCell ref="R80:S80"/>
    <mergeCell ref="H76:I76"/>
    <mergeCell ref="H72:I72"/>
    <mergeCell ref="R72:S72"/>
    <mergeCell ref="H31:I31"/>
    <mergeCell ref="H92:I92"/>
    <mergeCell ref="A35:B35"/>
    <mergeCell ref="H35:I35"/>
    <mergeCell ref="A82:B82"/>
    <mergeCell ref="H82:I82"/>
    <mergeCell ref="A43:B43"/>
    <mergeCell ref="A70:D70"/>
    <mergeCell ref="A60:B60"/>
    <mergeCell ref="H60:I60"/>
    <mergeCell ref="A64:B64"/>
    <mergeCell ref="H64:I64"/>
    <mergeCell ref="A88:B88"/>
    <mergeCell ref="A66:B66"/>
    <mergeCell ref="A80:B80"/>
    <mergeCell ref="H80:I80"/>
    <mergeCell ref="A39:B39"/>
    <mergeCell ref="H39:I39"/>
    <mergeCell ref="H42:I42"/>
    <mergeCell ref="F70:I70"/>
    <mergeCell ref="A31:B31"/>
    <mergeCell ref="A86:B86"/>
    <mergeCell ref="H88:I88"/>
    <mergeCell ref="A76:B76"/>
    <mergeCell ref="K1:S1"/>
    <mergeCell ref="A2:D2"/>
    <mergeCell ref="F2:I2"/>
    <mergeCell ref="K2:N2"/>
    <mergeCell ref="P2:S2"/>
    <mergeCell ref="A1:I1"/>
    <mergeCell ref="A4:D4"/>
    <mergeCell ref="F4:I4"/>
    <mergeCell ref="A6:B6"/>
    <mergeCell ref="H6:I6"/>
    <mergeCell ref="P4:S4"/>
    <mergeCell ref="K6:L6"/>
    <mergeCell ref="R6:S6"/>
    <mergeCell ref="K4:N4"/>
    <mergeCell ref="A10:B10"/>
    <mergeCell ref="H9:I9"/>
    <mergeCell ref="K10:L10"/>
    <mergeCell ref="A27:B27"/>
    <mergeCell ref="H27:I27"/>
    <mergeCell ref="K27:L27"/>
    <mergeCell ref="H66:I66"/>
    <mergeCell ref="K66:L66"/>
    <mergeCell ref="R66:S66"/>
    <mergeCell ref="K29:L29"/>
    <mergeCell ref="H29:I29"/>
    <mergeCell ref="A29:B29"/>
    <mergeCell ref="K62:L62"/>
    <mergeCell ref="R62:S62"/>
    <mergeCell ref="R42:S42"/>
    <mergeCell ref="K31:L31"/>
    <mergeCell ref="R27:S27"/>
    <mergeCell ref="R9:S9"/>
    <mergeCell ref="R29:S29"/>
    <mergeCell ref="K37:N37"/>
    <mergeCell ref="R31:S31"/>
    <mergeCell ref="K33:L33"/>
    <mergeCell ref="P37:S37"/>
    <mergeCell ref="K43:L43"/>
    <mergeCell ref="K86:L86"/>
    <mergeCell ref="K92:L92"/>
    <mergeCell ref="R92:S92"/>
    <mergeCell ref="H84:I84"/>
    <mergeCell ref="R84:S84"/>
    <mergeCell ref="R76:S76"/>
    <mergeCell ref="H86:I86"/>
    <mergeCell ref="A84:B84"/>
    <mergeCell ref="K35:L35"/>
    <mergeCell ref="R35:S35"/>
    <mergeCell ref="A68:B68"/>
    <mergeCell ref="H68:I68"/>
    <mergeCell ref="K68:L68"/>
    <mergeCell ref="R68:S68"/>
    <mergeCell ref="K39:L39"/>
    <mergeCell ref="A62:B62"/>
    <mergeCell ref="H62:I62"/>
    <mergeCell ref="R60:S60"/>
    <mergeCell ref="K64:L64"/>
    <mergeCell ref="R64:S64"/>
    <mergeCell ref="A37:D37"/>
    <mergeCell ref="F37:I37"/>
    <mergeCell ref="H102:I102"/>
    <mergeCell ref="K102:L102"/>
    <mergeCell ref="R102:S102"/>
    <mergeCell ref="A98:B98"/>
    <mergeCell ref="H98:I98"/>
    <mergeCell ref="K98:L98"/>
    <mergeCell ref="R98:S98"/>
    <mergeCell ref="A94:B94"/>
    <mergeCell ref="H94:I94"/>
    <mergeCell ref="K94:L94"/>
    <mergeCell ref="R94:S94"/>
    <mergeCell ref="K96:L96"/>
    <mergeCell ref="R96:S96"/>
    <mergeCell ref="A96:B96"/>
    <mergeCell ref="H96:I96"/>
    <mergeCell ref="K100:L100"/>
    <mergeCell ref="R100:S100"/>
    <mergeCell ref="A100:B100"/>
    <mergeCell ref="H100:I100"/>
    <mergeCell ref="H106:I106"/>
    <mergeCell ref="K106:L106"/>
    <mergeCell ref="R106:S106"/>
    <mergeCell ref="A112:B112"/>
    <mergeCell ref="A108:B108"/>
    <mergeCell ref="H108:I108"/>
    <mergeCell ref="K108:L108"/>
    <mergeCell ref="R108:S108"/>
    <mergeCell ref="A106:B106"/>
    <mergeCell ref="H112:I112"/>
    <mergeCell ref="K112:L112"/>
    <mergeCell ref="R112:S112"/>
    <mergeCell ref="A110:B110"/>
    <mergeCell ref="H110:I110"/>
    <mergeCell ref="K110:L110"/>
    <mergeCell ref="R110:S110"/>
    <mergeCell ref="A118:B118"/>
    <mergeCell ref="H118:I118"/>
    <mergeCell ref="K118:L118"/>
    <mergeCell ref="R118:S118"/>
    <mergeCell ref="A114:B114"/>
    <mergeCell ref="H114:I114"/>
    <mergeCell ref="K114:L114"/>
    <mergeCell ref="R114:S114"/>
    <mergeCell ref="A116:B116"/>
    <mergeCell ref="H116:I116"/>
    <mergeCell ref="K116:L116"/>
    <mergeCell ref="R116:S116"/>
  </mergeCells>
  <phoneticPr fontId="31" type="noConversion"/>
  <pageMargins left="0.75" right="0.75" top="1" bottom="1" header="0.5" footer="0.5"/>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3"/>
  <dimension ref="A2:F154"/>
  <sheetViews>
    <sheetView workbookViewId="0">
      <selection activeCell="A2" sqref="A2:B2"/>
    </sheetView>
  </sheetViews>
  <sheetFormatPr defaultColWidth="9.109375" defaultRowHeight="12.55"/>
  <cols>
    <col min="1" max="1" width="60" style="12" customWidth="1"/>
    <col min="2" max="2" width="30" style="12" customWidth="1"/>
    <col min="3" max="3" width="21.33203125" style="12" customWidth="1"/>
    <col min="4" max="4" width="59.109375" style="12" customWidth="1"/>
    <col min="5" max="5" width="29.44140625" style="12" customWidth="1"/>
    <col min="6" max="6" width="21.109375" style="12" customWidth="1"/>
    <col min="7" max="7" width="9.109375" style="12"/>
    <col min="8" max="8" width="13" style="12" customWidth="1"/>
    <col min="9" max="16384" width="9.109375" style="12"/>
  </cols>
  <sheetData>
    <row r="2" spans="1:5">
      <c r="A2" s="813" t="s">
        <v>208</v>
      </c>
      <c r="B2" s="813"/>
      <c r="D2" s="813" t="s">
        <v>209</v>
      </c>
      <c r="E2" s="813"/>
    </row>
    <row r="3" spans="1:5" ht="13.15">
      <c r="A3" s="42" t="s">
        <v>73</v>
      </c>
      <c r="B3" s="43"/>
      <c r="D3" s="255" t="s">
        <v>73</v>
      </c>
      <c r="E3" s="43"/>
    </row>
    <row r="4" spans="1:5" ht="13.15">
      <c r="A4" s="44" t="s">
        <v>71</v>
      </c>
      <c r="B4" s="45"/>
      <c r="D4" s="256" t="s">
        <v>71</v>
      </c>
      <c r="E4" s="45"/>
    </row>
    <row r="5" spans="1:5" ht="16.45" customHeight="1">
      <c r="A5" s="46" t="s">
        <v>318</v>
      </c>
      <c r="B5" s="53">
        <v>9199898</v>
      </c>
      <c r="D5" s="46" t="s">
        <v>318</v>
      </c>
      <c r="E5" s="53">
        <v>1720000</v>
      </c>
    </row>
    <row r="6" spans="1:5" ht="16.45" customHeight="1">
      <c r="A6" s="48" t="s">
        <v>319</v>
      </c>
      <c r="B6" s="376">
        <v>0.6</v>
      </c>
      <c r="D6" s="48" t="s">
        <v>319</v>
      </c>
      <c r="E6" s="376">
        <v>0.6</v>
      </c>
    </row>
    <row r="7" spans="1:5" ht="13.15" hidden="1">
      <c r="A7" s="48" t="s">
        <v>70</v>
      </c>
      <c r="B7" s="257">
        <f>B5*B6</f>
        <v>5519938.7999999998</v>
      </c>
      <c r="D7" s="258" t="s">
        <v>25</v>
      </c>
      <c r="E7" s="257" t="e">
        <f>'Costi diretti'!I40/('Struttura Ricavi'!E5+'Struttura Ricavi'!E14)</f>
        <v>#DIV/0!</v>
      </c>
    </row>
    <row r="8" spans="1:5" ht="13.15">
      <c r="A8" s="50" t="s">
        <v>72</v>
      </c>
      <c r="B8" s="51"/>
      <c r="D8" s="50" t="s">
        <v>72</v>
      </c>
      <c r="E8" s="51"/>
    </row>
    <row r="9" spans="1:5" ht="16.45" customHeight="1">
      <c r="A9" s="52" t="s">
        <v>321</v>
      </c>
      <c r="B9" s="53">
        <v>2496200</v>
      </c>
      <c r="D9" s="52" t="s">
        <v>321</v>
      </c>
      <c r="E9" s="53">
        <v>1837976</v>
      </c>
    </row>
    <row r="10" spans="1:5" ht="13.8" thickBot="1">
      <c r="A10" s="48" t="s">
        <v>320</v>
      </c>
      <c r="B10" s="376">
        <v>0.7</v>
      </c>
      <c r="D10" s="48" t="s">
        <v>320</v>
      </c>
      <c r="E10" s="376">
        <v>0.7</v>
      </c>
    </row>
    <row r="11" spans="1:5" ht="27.1" customHeight="1" thickTop="1">
      <c r="A11" s="54" t="s">
        <v>322</v>
      </c>
      <c r="B11" s="55">
        <v>9630000</v>
      </c>
      <c r="D11" s="54" t="s">
        <v>322</v>
      </c>
      <c r="E11" s="55">
        <v>2040000</v>
      </c>
    </row>
    <row r="12" spans="1:5" ht="29.3" customHeight="1" thickBot="1">
      <c r="A12" s="56" t="s">
        <v>323</v>
      </c>
      <c r="B12" s="57">
        <v>3910000</v>
      </c>
      <c r="D12" s="56" t="s">
        <v>323</v>
      </c>
      <c r="E12" s="57">
        <v>1986000</v>
      </c>
    </row>
    <row r="13" spans="1:5" ht="15.85" customHeight="1" thickTop="1">
      <c r="A13" s="60" t="s">
        <v>69</v>
      </c>
      <c r="B13" s="61"/>
      <c r="D13" s="60" t="s">
        <v>69</v>
      </c>
      <c r="E13" s="61"/>
    </row>
    <row r="14" spans="1:5" ht="13.15">
      <c r="A14" s="62" t="s">
        <v>71</v>
      </c>
      <c r="B14" s="63"/>
      <c r="D14" s="259" t="s">
        <v>71</v>
      </c>
      <c r="E14" s="63"/>
    </row>
    <row r="15" spans="1:5" ht="13.15">
      <c r="A15" s="46" t="s">
        <v>318</v>
      </c>
      <c r="B15" s="53">
        <v>8883000</v>
      </c>
      <c r="D15" s="46" t="s">
        <v>318</v>
      </c>
      <c r="E15" s="53">
        <v>635500</v>
      </c>
    </row>
    <row r="16" spans="1:5" ht="13.15">
      <c r="A16" s="48" t="s">
        <v>319</v>
      </c>
      <c r="B16" s="376">
        <v>0.75</v>
      </c>
      <c r="D16" s="48" t="s">
        <v>319</v>
      </c>
      <c r="E16" s="376">
        <v>0.75</v>
      </c>
    </row>
    <row r="17" spans="1:5" ht="13.15">
      <c r="A17" s="62" t="s">
        <v>72</v>
      </c>
      <c r="B17" s="65"/>
      <c r="D17" s="259" t="s">
        <v>72</v>
      </c>
      <c r="E17" s="65"/>
    </row>
    <row r="18" spans="1:5" ht="13.15">
      <c r="A18" s="52" t="s">
        <v>321</v>
      </c>
      <c r="B18" s="53">
        <v>2399717</v>
      </c>
      <c r="D18" s="52" t="s">
        <v>321</v>
      </c>
      <c r="E18" s="53">
        <v>752000</v>
      </c>
    </row>
    <row r="19" spans="1:5" ht="13.8" thickBot="1">
      <c r="A19" s="48" t="s">
        <v>320</v>
      </c>
      <c r="B19" s="376">
        <v>0.8</v>
      </c>
      <c r="D19" s="48" t="s">
        <v>320</v>
      </c>
      <c r="E19" s="376">
        <v>0.8</v>
      </c>
    </row>
    <row r="20" spans="1:5" ht="13.8" thickTop="1">
      <c r="A20" s="66" t="s">
        <v>322</v>
      </c>
      <c r="B20" s="67">
        <v>6542000</v>
      </c>
      <c r="D20" s="66" t="s">
        <v>322</v>
      </c>
      <c r="E20" s="67">
        <v>1947000</v>
      </c>
    </row>
    <row r="21" spans="1:5" ht="13.8" thickBot="1">
      <c r="A21" s="68" t="s">
        <v>323</v>
      </c>
      <c r="B21" s="69">
        <v>3890000</v>
      </c>
      <c r="D21" s="68" t="s">
        <v>323</v>
      </c>
      <c r="E21" s="69">
        <v>1925000</v>
      </c>
    </row>
    <row r="22" spans="1:5" ht="13.15" thickTop="1"/>
    <row r="23" spans="1:5" ht="20.7">
      <c r="A23" s="819" t="s">
        <v>222</v>
      </c>
      <c r="B23" s="820"/>
      <c r="C23" s="820"/>
      <c r="D23" s="820"/>
      <c r="E23" s="820"/>
    </row>
    <row r="24" spans="1:5" ht="15.05">
      <c r="A24" s="94"/>
      <c r="B24" s="95" t="s">
        <v>292</v>
      </c>
      <c r="C24" s="260"/>
      <c r="D24" s="97"/>
      <c r="E24" s="95" t="s">
        <v>292</v>
      </c>
    </row>
    <row r="25" spans="1:5">
      <c r="A25" s="101" t="s">
        <v>63</v>
      </c>
      <c r="B25" s="456">
        <v>120000</v>
      </c>
      <c r="C25" s="261"/>
      <c r="D25" s="102" t="s">
        <v>63</v>
      </c>
      <c r="E25" s="456">
        <v>0</v>
      </c>
    </row>
    <row r="26" spans="1:5">
      <c r="A26" s="101" t="s">
        <v>64</v>
      </c>
      <c r="B26" s="456">
        <v>225000</v>
      </c>
      <c r="C26" s="261"/>
      <c r="D26" s="102" t="s">
        <v>64</v>
      </c>
      <c r="E26" s="456">
        <v>0</v>
      </c>
    </row>
    <row r="27" spans="1:5">
      <c r="A27" s="101" t="s">
        <v>65</v>
      </c>
      <c r="B27" s="456">
        <v>120000</v>
      </c>
      <c r="C27" s="261"/>
      <c r="D27" s="102" t="s">
        <v>65</v>
      </c>
      <c r="E27" s="456">
        <v>120000</v>
      </c>
    </row>
    <row r="28" spans="1:5">
      <c r="A28" s="101" t="s">
        <v>66</v>
      </c>
      <c r="B28" s="456">
        <v>0</v>
      </c>
      <c r="C28" s="261"/>
      <c r="D28" s="102" t="s">
        <v>66</v>
      </c>
      <c r="E28" s="456">
        <v>0</v>
      </c>
    </row>
    <row r="29" spans="1:5">
      <c r="A29" s="101" t="s">
        <v>68</v>
      </c>
      <c r="B29" s="456">
        <v>0</v>
      </c>
      <c r="C29" s="261"/>
      <c r="D29" s="102" t="s">
        <v>68</v>
      </c>
      <c r="E29" s="456">
        <v>0</v>
      </c>
    </row>
    <row r="30" spans="1:5">
      <c r="A30" s="101" t="s">
        <v>67</v>
      </c>
      <c r="B30" s="456">
        <v>0</v>
      </c>
      <c r="C30" s="261"/>
      <c r="D30" s="102" t="s">
        <v>67</v>
      </c>
      <c r="E30" s="456">
        <v>0</v>
      </c>
    </row>
    <row r="31" spans="1:5">
      <c r="A31" s="101" t="s">
        <v>75</v>
      </c>
      <c r="B31" s="456">
        <v>0</v>
      </c>
      <c r="C31" s="261"/>
      <c r="D31" s="102" t="s">
        <v>75</v>
      </c>
      <c r="E31" s="456">
        <v>0</v>
      </c>
    </row>
    <row r="32" spans="1:5">
      <c r="A32" s="101" t="s">
        <v>153</v>
      </c>
      <c r="B32" s="456">
        <v>696000</v>
      </c>
      <c r="C32" s="261"/>
      <c r="D32" s="102" t="s">
        <v>153</v>
      </c>
      <c r="E32" s="456">
        <v>600000</v>
      </c>
    </row>
    <row r="33" spans="1:5">
      <c r="A33" s="101" t="s">
        <v>155</v>
      </c>
      <c r="B33" s="456">
        <v>700000</v>
      </c>
      <c r="C33" s="261"/>
      <c r="D33" s="102" t="s">
        <v>155</v>
      </c>
      <c r="E33" s="456">
        <v>720000</v>
      </c>
    </row>
    <row r="34" spans="1:5">
      <c r="A34" s="101" t="s">
        <v>156</v>
      </c>
      <c r="B34" s="455">
        <v>720000</v>
      </c>
      <c r="C34" s="261"/>
      <c r="D34" s="102" t="s">
        <v>156</v>
      </c>
      <c r="E34" s="455">
        <v>720000</v>
      </c>
    </row>
    <row r="35" spans="1:5">
      <c r="A35" s="101" t="s">
        <v>157</v>
      </c>
      <c r="B35" s="455">
        <v>1096600</v>
      </c>
      <c r="C35" s="261"/>
      <c r="D35" s="102" t="s">
        <v>157</v>
      </c>
      <c r="E35" s="455">
        <v>749190</v>
      </c>
    </row>
    <row r="36" spans="1:5">
      <c r="A36" s="105" t="s">
        <v>210</v>
      </c>
      <c r="B36" s="455">
        <v>415000</v>
      </c>
      <c r="C36" s="261"/>
      <c r="D36" s="105" t="s">
        <v>210</v>
      </c>
      <c r="E36" s="455">
        <v>447000.54</v>
      </c>
    </row>
    <row r="37" spans="1:5" ht="13.15">
      <c r="A37" s="109" t="s">
        <v>62</v>
      </c>
      <c r="B37" s="712"/>
      <c r="C37" s="262"/>
      <c r="D37" s="112" t="s">
        <v>62</v>
      </c>
      <c r="E37" s="717"/>
    </row>
    <row r="38" spans="1:5" ht="13.15">
      <c r="A38" s="114" t="s">
        <v>144</v>
      </c>
      <c r="B38" s="713">
        <v>5.1650000000000001E-2</v>
      </c>
      <c r="C38" s="263"/>
      <c r="D38" s="116" t="s">
        <v>144</v>
      </c>
      <c r="E38" s="718">
        <v>6.7140000000000005E-2</v>
      </c>
    </row>
    <row r="39" spans="1:5" ht="13.15">
      <c r="A39" s="120" t="s">
        <v>78</v>
      </c>
      <c r="B39" s="713"/>
      <c r="C39" s="264"/>
      <c r="D39" s="122" t="s">
        <v>78</v>
      </c>
      <c r="E39" s="718"/>
    </row>
    <row r="40" spans="1:5" ht="13.15">
      <c r="A40" s="120" t="s">
        <v>151</v>
      </c>
      <c r="B40" s="713">
        <v>5.9900000000000002E-2</v>
      </c>
      <c r="C40" s="265"/>
      <c r="D40" s="122" t="s">
        <v>151</v>
      </c>
      <c r="E40" s="718">
        <v>5.9900000000000002E-2</v>
      </c>
    </row>
    <row r="41" spans="1:5" ht="13.15">
      <c r="A41" s="120" t="s">
        <v>152</v>
      </c>
      <c r="B41" s="713">
        <v>7.2622999999999993E-2</v>
      </c>
      <c r="C41" s="266"/>
      <c r="D41" s="122" t="s">
        <v>152</v>
      </c>
      <c r="E41" s="718">
        <v>7.2622999999999993E-2</v>
      </c>
    </row>
    <row r="42" spans="1:5" ht="13.15">
      <c r="A42" s="133" t="s">
        <v>79</v>
      </c>
      <c r="B42" s="714"/>
      <c r="C42" s="267"/>
      <c r="D42" s="135" t="s">
        <v>79</v>
      </c>
      <c r="E42" s="719"/>
    </row>
    <row r="43" spans="1:5" ht="13.15">
      <c r="A43" s="120" t="s">
        <v>145</v>
      </c>
      <c r="B43" s="715">
        <v>7.7539999999999996E-3</v>
      </c>
      <c r="C43" s="268"/>
      <c r="D43" s="122" t="s">
        <v>145</v>
      </c>
      <c r="E43" s="720">
        <v>7.7539999999999996E-3</v>
      </c>
    </row>
    <row r="44" spans="1:5" ht="13.15">
      <c r="A44" s="120" t="s">
        <v>146</v>
      </c>
      <c r="B44" s="715">
        <v>1.5814000000000002E-2</v>
      </c>
      <c r="C44" s="268"/>
      <c r="D44" s="122" t="s">
        <v>146</v>
      </c>
      <c r="E44" s="720">
        <v>1.5814000000000002E-2</v>
      </c>
    </row>
    <row r="45" spans="1:5" ht="13.15">
      <c r="A45" s="133" t="s">
        <v>143</v>
      </c>
      <c r="B45" s="716"/>
      <c r="C45" s="269"/>
      <c r="D45" s="135" t="s">
        <v>143</v>
      </c>
      <c r="E45" s="721"/>
    </row>
    <row r="46" spans="1:5" ht="13.15">
      <c r="A46" s="120" t="s">
        <v>145</v>
      </c>
      <c r="B46" s="713">
        <v>1.1670000000000001E-3</v>
      </c>
      <c r="C46" s="266"/>
      <c r="D46" s="122" t="s">
        <v>145</v>
      </c>
      <c r="E46" s="718">
        <v>1.1670000000000001E-3</v>
      </c>
    </row>
    <row r="47" spans="1:5" ht="13.15">
      <c r="A47" s="120" t="s">
        <v>146</v>
      </c>
      <c r="B47" s="713">
        <v>2.4525000000000002E-2</v>
      </c>
      <c r="C47" s="266"/>
      <c r="D47" s="122" t="s">
        <v>146</v>
      </c>
      <c r="E47" s="718">
        <v>2.4525000000000002E-2</v>
      </c>
    </row>
    <row r="48" spans="1:5" ht="13.15">
      <c r="A48" s="133" t="s">
        <v>80</v>
      </c>
      <c r="B48" s="716"/>
      <c r="C48" s="270"/>
      <c r="D48" s="135" t="s">
        <v>80</v>
      </c>
      <c r="E48" s="721"/>
    </row>
    <row r="49" spans="1:5" ht="13.15">
      <c r="A49" s="120" t="s">
        <v>145</v>
      </c>
      <c r="B49" s="713">
        <v>1.712E-3</v>
      </c>
      <c r="C49" s="266"/>
      <c r="D49" s="122" t="s">
        <v>145</v>
      </c>
      <c r="E49" s="718">
        <v>1.712E-3</v>
      </c>
    </row>
    <row r="50" spans="1:5" ht="13.15">
      <c r="A50" s="120" t="s">
        <v>146</v>
      </c>
      <c r="B50" s="713">
        <v>0</v>
      </c>
      <c r="C50" s="271"/>
      <c r="D50" s="122" t="s">
        <v>146</v>
      </c>
      <c r="E50" s="718">
        <v>0</v>
      </c>
    </row>
    <row r="51" spans="1:5" ht="13.15">
      <c r="A51" s="133" t="s">
        <v>81</v>
      </c>
      <c r="B51" s="716"/>
      <c r="C51" s="270"/>
      <c r="D51" s="135" t="s">
        <v>81</v>
      </c>
      <c r="E51" s="721"/>
    </row>
    <row r="52" spans="1:5" ht="13.15">
      <c r="A52" s="120" t="s">
        <v>145</v>
      </c>
      <c r="B52" s="713">
        <v>2.0000000000000001E-4</v>
      </c>
      <c r="C52" s="265"/>
      <c r="D52" s="122" t="s">
        <v>145</v>
      </c>
      <c r="E52" s="718">
        <v>2.0000000000000001E-4</v>
      </c>
    </row>
    <row r="53" spans="1:5" ht="13.15">
      <c r="A53" s="120" t="s">
        <v>146</v>
      </c>
      <c r="B53" s="713">
        <v>1.2199999999999999E-3</v>
      </c>
      <c r="C53" s="271"/>
      <c r="D53" s="122" t="s">
        <v>146</v>
      </c>
      <c r="E53" s="718">
        <v>1.2199999999999999E-3</v>
      </c>
    </row>
    <row r="54" spans="1:5">
      <c r="B54" s="149"/>
      <c r="C54" s="150"/>
      <c r="D54" s="149"/>
      <c r="E54" s="149"/>
    </row>
    <row r="55" spans="1:5" ht="20.7">
      <c r="A55" s="819" t="s">
        <v>219</v>
      </c>
      <c r="B55" s="820"/>
      <c r="C55" s="820"/>
      <c r="D55" s="820"/>
      <c r="E55" s="820"/>
    </row>
    <row r="56" spans="1:5" ht="15.05">
      <c r="A56" s="153"/>
      <c r="B56" s="95" t="s">
        <v>292</v>
      </c>
      <c r="C56" s="96"/>
      <c r="D56" s="97"/>
      <c r="E56" s="95" t="s">
        <v>292</v>
      </c>
    </row>
    <row r="57" spans="1:5">
      <c r="A57" s="105" t="s">
        <v>63</v>
      </c>
      <c r="B57" s="456">
        <v>32000</v>
      </c>
      <c r="C57" s="261"/>
      <c r="D57" s="102" t="s">
        <v>63</v>
      </c>
      <c r="E57" s="456">
        <v>16000</v>
      </c>
    </row>
    <row r="58" spans="1:5">
      <c r="A58" s="105" t="s">
        <v>64</v>
      </c>
      <c r="B58" s="456">
        <v>21390</v>
      </c>
      <c r="C58" s="261"/>
      <c r="D58" s="102" t="s">
        <v>64</v>
      </c>
      <c r="E58" s="456">
        <v>10500</v>
      </c>
    </row>
    <row r="59" spans="1:5">
      <c r="A59" s="105" t="s">
        <v>65</v>
      </c>
      <c r="B59" s="456">
        <v>0</v>
      </c>
      <c r="C59" s="261"/>
      <c r="D59" s="102" t="s">
        <v>65</v>
      </c>
      <c r="E59" s="456">
        <v>0</v>
      </c>
    </row>
    <row r="60" spans="1:5">
      <c r="A60" s="105" t="s">
        <v>66</v>
      </c>
      <c r="B60" s="456">
        <v>0</v>
      </c>
      <c r="C60" s="261"/>
      <c r="D60" s="102" t="s">
        <v>66</v>
      </c>
      <c r="E60" s="456">
        <v>0</v>
      </c>
    </row>
    <row r="61" spans="1:5">
      <c r="A61" s="157" t="s">
        <v>68</v>
      </c>
      <c r="B61" s="456">
        <v>0</v>
      </c>
      <c r="C61" s="261"/>
      <c r="D61" s="102" t="s">
        <v>68</v>
      </c>
      <c r="E61" s="456">
        <v>0</v>
      </c>
    </row>
    <row r="62" spans="1:5">
      <c r="A62" s="105" t="s">
        <v>67</v>
      </c>
      <c r="B62" s="456">
        <v>0</v>
      </c>
      <c r="C62" s="261"/>
      <c r="D62" s="102" t="s">
        <v>67</v>
      </c>
      <c r="E62" s="456">
        <v>0</v>
      </c>
    </row>
    <row r="63" spans="1:5">
      <c r="A63" s="105" t="s">
        <v>75</v>
      </c>
      <c r="B63" s="456">
        <v>0</v>
      </c>
      <c r="C63" s="261"/>
      <c r="D63" s="102" t="s">
        <v>75</v>
      </c>
      <c r="E63" s="456">
        <v>0</v>
      </c>
    </row>
    <row r="64" spans="1:5">
      <c r="A64" s="105" t="s">
        <v>153</v>
      </c>
      <c r="B64" s="456">
        <v>129600</v>
      </c>
      <c r="C64" s="261"/>
      <c r="D64" s="102" t="s">
        <v>153</v>
      </c>
      <c r="E64" s="456">
        <v>133600</v>
      </c>
    </row>
    <row r="65" spans="1:5">
      <c r="A65" s="105" t="s">
        <v>155</v>
      </c>
      <c r="B65" s="456">
        <v>88000</v>
      </c>
      <c r="C65" s="261"/>
      <c r="D65" s="102" t="s">
        <v>155</v>
      </c>
      <c r="E65" s="456">
        <v>547000</v>
      </c>
    </row>
    <row r="66" spans="1:5">
      <c r="A66" s="105" t="s">
        <v>156</v>
      </c>
      <c r="B66" s="455">
        <v>569500</v>
      </c>
      <c r="C66" s="261"/>
      <c r="D66" s="102" t="s">
        <v>156</v>
      </c>
      <c r="E66" s="455">
        <v>74547</v>
      </c>
    </row>
    <row r="67" spans="1:5">
      <c r="A67" s="105" t="s">
        <v>157</v>
      </c>
      <c r="B67" s="455">
        <v>510600</v>
      </c>
      <c r="C67" s="261"/>
      <c r="D67" s="102" t="s">
        <v>157</v>
      </c>
      <c r="E67" s="455">
        <v>677500</v>
      </c>
    </row>
    <row r="68" spans="1:5">
      <c r="A68" s="105" t="s">
        <v>210</v>
      </c>
      <c r="B68" s="455">
        <v>76500</v>
      </c>
      <c r="C68" s="261"/>
      <c r="D68" s="105" t="s">
        <v>210</v>
      </c>
      <c r="E68" s="455">
        <v>81800</v>
      </c>
    </row>
    <row r="69" spans="1:5" ht="13.15">
      <c r="A69" s="110" t="s">
        <v>62</v>
      </c>
      <c r="B69" s="712"/>
      <c r="C69" s="111"/>
      <c r="D69" s="113" t="s">
        <v>62</v>
      </c>
      <c r="E69" s="717"/>
    </row>
    <row r="70" spans="1:5" ht="13.15">
      <c r="A70" s="159" t="s">
        <v>144</v>
      </c>
      <c r="B70" s="713">
        <v>5.1650000000000001E-2</v>
      </c>
      <c r="C70" s="272"/>
      <c r="D70" s="160" t="s">
        <v>144</v>
      </c>
      <c r="E70" s="718">
        <v>6.7140000000000005E-2</v>
      </c>
    </row>
    <row r="71" spans="1:5" ht="13.15">
      <c r="A71" s="120" t="s">
        <v>78</v>
      </c>
      <c r="B71" s="713"/>
      <c r="C71" s="273"/>
      <c r="D71" s="161" t="s">
        <v>78</v>
      </c>
      <c r="E71" s="718"/>
    </row>
    <row r="72" spans="1:5" ht="13.15">
      <c r="A72" s="120" t="s">
        <v>151</v>
      </c>
      <c r="B72" s="713">
        <v>5.9900000000000002E-2</v>
      </c>
      <c r="C72" s="274"/>
      <c r="D72" s="161" t="s">
        <v>151</v>
      </c>
      <c r="E72" s="718">
        <v>5.9900000000000002E-2</v>
      </c>
    </row>
    <row r="73" spans="1:5" ht="13.15">
      <c r="A73" s="120" t="s">
        <v>152</v>
      </c>
      <c r="B73" s="713">
        <v>7.2622999999999993E-2</v>
      </c>
      <c r="C73" s="275"/>
      <c r="D73" s="161" t="s">
        <v>152</v>
      </c>
      <c r="E73" s="718">
        <v>7.2622999999999993E-2</v>
      </c>
    </row>
    <row r="74" spans="1:5" ht="13.15">
      <c r="A74" s="133" t="s">
        <v>79</v>
      </c>
      <c r="B74" s="714"/>
      <c r="C74" s="276"/>
      <c r="D74" s="163" t="s">
        <v>79</v>
      </c>
      <c r="E74" s="719"/>
    </row>
    <row r="75" spans="1:5" ht="13.15">
      <c r="A75" s="120" t="s">
        <v>145</v>
      </c>
      <c r="B75" s="715">
        <v>7.7539999999999996E-3</v>
      </c>
      <c r="C75" s="277"/>
      <c r="D75" s="161" t="s">
        <v>145</v>
      </c>
      <c r="E75" s="720">
        <v>7.7539999999999996E-3</v>
      </c>
    </row>
    <row r="76" spans="1:5" ht="13.15">
      <c r="A76" s="120" t="s">
        <v>146</v>
      </c>
      <c r="B76" s="715">
        <v>1.5814000000000002E-2</v>
      </c>
      <c r="C76" s="277"/>
      <c r="D76" s="161" t="s">
        <v>146</v>
      </c>
      <c r="E76" s="720">
        <v>1.5814000000000002E-2</v>
      </c>
    </row>
    <row r="77" spans="1:5" ht="13.15">
      <c r="A77" s="133" t="s">
        <v>143</v>
      </c>
      <c r="B77" s="716"/>
      <c r="C77" s="278"/>
      <c r="D77" s="163" t="s">
        <v>143</v>
      </c>
      <c r="E77" s="721"/>
    </row>
    <row r="78" spans="1:5" ht="13.15">
      <c r="A78" s="120" t="s">
        <v>145</v>
      </c>
      <c r="B78" s="713">
        <v>1.1670000000000001E-3</v>
      </c>
      <c r="C78" s="275"/>
      <c r="D78" s="161" t="s">
        <v>145</v>
      </c>
      <c r="E78" s="718">
        <v>1.1670000000000001E-3</v>
      </c>
    </row>
    <row r="79" spans="1:5" ht="13.15">
      <c r="A79" s="120" t="s">
        <v>146</v>
      </c>
      <c r="B79" s="713">
        <v>2.4525000000000002E-2</v>
      </c>
      <c r="C79" s="275"/>
      <c r="D79" s="161" t="s">
        <v>146</v>
      </c>
      <c r="E79" s="718">
        <v>2.4525000000000002E-2</v>
      </c>
    </row>
    <row r="80" spans="1:5" ht="13.15">
      <c r="A80" s="133" t="s">
        <v>80</v>
      </c>
      <c r="B80" s="716"/>
      <c r="C80" s="279"/>
      <c r="D80" s="163" t="s">
        <v>80</v>
      </c>
      <c r="E80" s="721"/>
    </row>
    <row r="81" spans="1:5" ht="13.15">
      <c r="A81" s="120" t="s">
        <v>145</v>
      </c>
      <c r="B81" s="713">
        <v>1.712E-3</v>
      </c>
      <c r="C81" s="275"/>
      <c r="D81" s="161" t="s">
        <v>145</v>
      </c>
      <c r="E81" s="718">
        <v>1.712E-3</v>
      </c>
    </row>
    <row r="82" spans="1:5" ht="13.15">
      <c r="A82" s="120" t="s">
        <v>146</v>
      </c>
      <c r="B82" s="713">
        <v>0</v>
      </c>
      <c r="C82" s="280"/>
      <c r="D82" s="161" t="s">
        <v>146</v>
      </c>
      <c r="E82" s="718">
        <v>0</v>
      </c>
    </row>
    <row r="83" spans="1:5" ht="13.15">
      <c r="A83" s="133" t="s">
        <v>81</v>
      </c>
      <c r="B83" s="716"/>
      <c r="C83" s="279"/>
      <c r="D83" s="163" t="s">
        <v>81</v>
      </c>
      <c r="E83" s="721"/>
    </row>
    <row r="84" spans="1:5" ht="13.15">
      <c r="A84" s="120" t="s">
        <v>145</v>
      </c>
      <c r="B84" s="713">
        <v>2.0000000000000001E-4</v>
      </c>
      <c r="C84" s="274"/>
      <c r="D84" s="161" t="s">
        <v>145</v>
      </c>
      <c r="E84" s="718">
        <v>2.0000000000000001E-4</v>
      </c>
    </row>
    <row r="85" spans="1:5" ht="13.15">
      <c r="A85" s="120" t="s">
        <v>146</v>
      </c>
      <c r="B85" s="713">
        <v>1.2199999999999999E-3</v>
      </c>
      <c r="C85" s="280"/>
      <c r="D85" s="161" t="s">
        <v>146</v>
      </c>
      <c r="E85" s="718">
        <v>1.2199999999999999E-3</v>
      </c>
    </row>
    <row r="86" spans="1:5" ht="13.15">
      <c r="A86" s="281"/>
      <c r="B86" s="147"/>
      <c r="C86" s="147"/>
      <c r="D86" s="281"/>
      <c r="E86" s="147"/>
    </row>
    <row r="87" spans="1:5" ht="13.15">
      <c r="A87" s="281"/>
      <c r="B87" s="147"/>
      <c r="C87" s="147"/>
      <c r="D87" s="281"/>
      <c r="E87" s="147"/>
    </row>
    <row r="88" spans="1:5" ht="20.7">
      <c r="A88" s="81" t="s">
        <v>196</v>
      </c>
      <c r="B88" s="82"/>
      <c r="C88" s="147"/>
      <c r="D88" s="87" t="s">
        <v>197</v>
      </c>
      <c r="E88" s="88"/>
    </row>
    <row r="89" spans="1:5" ht="14.4">
      <c r="A89" s="83" t="s">
        <v>1</v>
      </c>
      <c r="B89" s="84">
        <v>44926</v>
      </c>
      <c r="C89" s="147"/>
      <c r="D89" s="83" t="s">
        <v>1</v>
      </c>
      <c r="E89" s="84">
        <v>44926</v>
      </c>
    </row>
    <row r="90" spans="1:5" ht="13.15">
      <c r="A90" s="85" t="s">
        <v>11</v>
      </c>
      <c r="B90" s="91">
        <v>10</v>
      </c>
      <c r="C90" s="147"/>
      <c r="D90" s="89" t="s">
        <v>11</v>
      </c>
      <c r="E90" s="91">
        <v>10</v>
      </c>
    </row>
    <row r="91" spans="1:5" ht="13.15">
      <c r="A91" s="85" t="s">
        <v>12</v>
      </c>
      <c r="B91" s="722">
        <v>1332.5</v>
      </c>
      <c r="C91" s="147"/>
      <c r="D91" s="89" t="s">
        <v>12</v>
      </c>
      <c r="E91" s="722">
        <v>1332.5</v>
      </c>
    </row>
    <row r="92" spans="1:5" ht="13.15">
      <c r="A92" s="85" t="s">
        <v>20</v>
      </c>
      <c r="B92" s="723">
        <f>B91*B90</f>
        <v>13325</v>
      </c>
      <c r="C92" s="147"/>
      <c r="D92" s="89" t="s">
        <v>20</v>
      </c>
      <c r="E92" s="723">
        <f>E91*E90</f>
        <v>13325</v>
      </c>
    </row>
    <row r="93" spans="1:5" ht="13.15">
      <c r="C93" s="147"/>
      <c r="D93" s="281"/>
      <c r="E93" s="147"/>
    </row>
    <row r="94" spans="1:5" ht="20.7">
      <c r="A94" s="81" t="s">
        <v>198</v>
      </c>
      <c r="B94" s="82"/>
      <c r="C94" s="147"/>
      <c r="D94" s="87" t="s">
        <v>199</v>
      </c>
      <c r="E94" s="88"/>
    </row>
    <row r="95" spans="1:5" ht="14.4">
      <c r="A95" s="83" t="s">
        <v>1</v>
      </c>
      <c r="B95" s="84">
        <v>44926</v>
      </c>
      <c r="C95" s="147"/>
      <c r="D95" s="83" t="s">
        <v>1</v>
      </c>
      <c r="E95" s="84">
        <v>44926</v>
      </c>
    </row>
    <row r="96" spans="1:5" ht="13.15">
      <c r="A96" s="85" t="s">
        <v>11</v>
      </c>
      <c r="B96" s="91">
        <v>8</v>
      </c>
      <c r="C96" s="147"/>
      <c r="D96" s="85" t="s">
        <v>11</v>
      </c>
      <c r="E96" s="91">
        <v>6</v>
      </c>
    </row>
    <row r="97" spans="1:6" ht="13.15">
      <c r="A97" s="85" t="s">
        <v>12</v>
      </c>
      <c r="B97" s="722">
        <v>1332.5</v>
      </c>
      <c r="C97" s="147"/>
      <c r="D97" s="85" t="s">
        <v>12</v>
      </c>
      <c r="E97" s="722">
        <v>1332.5</v>
      </c>
    </row>
    <row r="98" spans="1:6" ht="13.15">
      <c r="A98" s="85" t="s">
        <v>20</v>
      </c>
      <c r="B98" s="723">
        <f>B97*B96</f>
        <v>10660</v>
      </c>
      <c r="C98" s="147"/>
      <c r="D98" s="85" t="s">
        <v>20</v>
      </c>
      <c r="E98" s="723">
        <f>E97*E96</f>
        <v>7995</v>
      </c>
    </row>
    <row r="99" spans="1:6" ht="13.15">
      <c r="C99" s="147"/>
      <c r="D99" s="281"/>
      <c r="E99" s="147"/>
    </row>
    <row r="100" spans="1:6" ht="13.15">
      <c r="A100" s="281"/>
      <c r="B100" s="147"/>
      <c r="C100" s="147"/>
      <c r="D100" s="281"/>
      <c r="E100" s="147"/>
    </row>
    <row r="101" spans="1:6" s="28" customFormat="1" ht="15.05">
      <c r="A101" s="818" t="s">
        <v>220</v>
      </c>
      <c r="B101" s="818"/>
      <c r="C101" s="818"/>
      <c r="D101" s="818" t="s">
        <v>221</v>
      </c>
      <c r="E101" s="818"/>
      <c r="F101" s="724"/>
    </row>
    <row r="102" spans="1:6" ht="13.15">
      <c r="A102" s="281"/>
      <c r="B102" s="147"/>
      <c r="C102" s="147"/>
      <c r="D102" s="281"/>
      <c r="E102" s="147"/>
    </row>
    <row r="103" spans="1:6" ht="13.15">
      <c r="A103" s="19" t="s">
        <v>38</v>
      </c>
      <c r="B103" s="725">
        <v>1572337</v>
      </c>
      <c r="C103" s="147"/>
      <c r="D103" s="19" t="s">
        <v>38</v>
      </c>
      <c r="E103" s="725">
        <v>594201</v>
      </c>
    </row>
    <row r="104" spans="1:6" ht="13.15">
      <c r="A104" s="19" t="s">
        <v>39</v>
      </c>
      <c r="B104" s="726">
        <v>57510</v>
      </c>
      <c r="C104" s="147"/>
      <c r="D104" s="19" t="s">
        <v>39</v>
      </c>
      <c r="E104" s="726">
        <v>25110</v>
      </c>
    </row>
    <row r="105" spans="1:6" ht="13.15">
      <c r="A105" s="19" t="s">
        <v>124</v>
      </c>
      <c r="B105" s="726">
        <v>110100</v>
      </c>
      <c r="C105" s="147"/>
      <c r="D105" s="19" t="s">
        <v>124</v>
      </c>
      <c r="E105" s="726">
        <v>101500</v>
      </c>
    </row>
    <row r="106" spans="1:6" ht="13.15">
      <c r="A106" s="19" t="s">
        <v>121</v>
      </c>
      <c r="B106" s="726">
        <v>115978</v>
      </c>
      <c r="C106" s="147"/>
      <c r="D106" s="19" t="s">
        <v>121</v>
      </c>
      <c r="E106" s="726">
        <v>60950</v>
      </c>
    </row>
    <row r="107" spans="1:6" ht="13.15">
      <c r="A107" s="19" t="s">
        <v>122</v>
      </c>
      <c r="B107" s="726">
        <v>65300</v>
      </c>
      <c r="C107" s="147"/>
      <c r="D107" s="19" t="s">
        <v>122</v>
      </c>
      <c r="E107" s="726">
        <v>31300</v>
      </c>
    </row>
    <row r="108" spans="1:6" ht="13.15">
      <c r="A108" s="19" t="s">
        <v>40</v>
      </c>
      <c r="B108" s="726">
        <v>65300</v>
      </c>
      <c r="C108" s="147"/>
      <c r="D108" s="19" t="s">
        <v>40</v>
      </c>
      <c r="E108" s="726">
        <v>36550</v>
      </c>
    </row>
    <row r="109" spans="1:6" ht="13.15">
      <c r="A109" s="19" t="s">
        <v>126</v>
      </c>
      <c r="B109" s="726">
        <v>75500</v>
      </c>
      <c r="C109" s="147"/>
      <c r="D109" s="19" t="s">
        <v>126</v>
      </c>
      <c r="E109" s="726">
        <v>8500</v>
      </c>
    </row>
    <row r="110" spans="1:6" ht="13.15">
      <c r="A110" s="19" t="s">
        <v>125</v>
      </c>
      <c r="B110" s="726">
        <v>132900</v>
      </c>
      <c r="C110" s="147"/>
      <c r="D110" s="19" t="s">
        <v>125</v>
      </c>
      <c r="E110" s="726">
        <v>72600</v>
      </c>
    </row>
    <row r="111" spans="1:6" ht="13.15">
      <c r="A111" s="19" t="s">
        <v>123</v>
      </c>
      <c r="B111" s="726">
        <v>342000</v>
      </c>
      <c r="C111" s="147"/>
      <c r="D111" s="19" t="s">
        <v>123</v>
      </c>
      <c r="E111" s="726">
        <v>120000</v>
      </c>
    </row>
    <row r="112" spans="1:6" ht="13.15">
      <c r="A112" s="19" t="s">
        <v>41</v>
      </c>
      <c r="B112" s="726">
        <v>170000</v>
      </c>
      <c r="C112" s="147"/>
      <c r="D112" s="19" t="s">
        <v>41</v>
      </c>
      <c r="E112" s="726">
        <v>37500</v>
      </c>
    </row>
    <row r="113" spans="1:6" ht="13.15">
      <c r="A113" s="19" t="s">
        <v>42</v>
      </c>
      <c r="B113" s="726">
        <v>73450</v>
      </c>
      <c r="C113" s="147"/>
      <c r="D113" s="19" t="s">
        <v>42</v>
      </c>
      <c r="E113" s="726">
        <v>27488</v>
      </c>
    </row>
    <row r="114" spans="1:6" ht="13.15">
      <c r="A114" s="19" t="s">
        <v>43</v>
      </c>
      <c r="B114" s="726">
        <v>131180</v>
      </c>
      <c r="C114" s="147"/>
      <c r="D114" s="19" t="s">
        <v>43</v>
      </c>
      <c r="E114" s="726">
        <v>35456</v>
      </c>
    </row>
    <row r="115" spans="1:6" ht="13.15">
      <c r="A115" s="19" t="s">
        <v>127</v>
      </c>
      <c r="B115" s="726">
        <v>107340</v>
      </c>
      <c r="C115" s="147"/>
      <c r="D115" s="19" t="s">
        <v>127</v>
      </c>
      <c r="E115" s="726">
        <v>35500</v>
      </c>
    </row>
    <row r="116" spans="1:6" ht="13.15">
      <c r="A116" s="19" t="s">
        <v>46</v>
      </c>
      <c r="B116" s="726">
        <v>133000</v>
      </c>
      <c r="C116" s="147"/>
      <c r="D116" s="19" t="s">
        <v>46</v>
      </c>
      <c r="E116" s="726">
        <v>73500</v>
      </c>
    </row>
    <row r="117" spans="1:6" ht="13.15">
      <c r="A117" s="19" t="s">
        <v>128</v>
      </c>
      <c r="B117" s="726">
        <v>145000</v>
      </c>
      <c r="C117" s="147"/>
      <c r="D117" s="19" t="s">
        <v>128</v>
      </c>
      <c r="E117" s="726">
        <v>72100</v>
      </c>
    </row>
    <row r="118" spans="1:6" ht="13.15">
      <c r="A118" s="19" t="s">
        <v>44</v>
      </c>
      <c r="B118" s="726">
        <v>137000</v>
      </c>
      <c r="C118" s="147"/>
      <c r="D118" s="19" t="s">
        <v>44</v>
      </c>
      <c r="E118" s="726">
        <v>110000</v>
      </c>
    </row>
    <row r="119" spans="1:6" ht="13.15">
      <c r="A119" s="19" t="s">
        <v>45</v>
      </c>
      <c r="B119" s="726">
        <v>122300</v>
      </c>
      <c r="C119" s="147"/>
      <c r="D119" s="19" t="s">
        <v>45</v>
      </c>
      <c r="E119" s="726">
        <v>122300</v>
      </c>
    </row>
    <row r="120" spans="1:6" ht="13.15">
      <c r="A120" s="19" t="s">
        <v>23</v>
      </c>
      <c r="B120" s="727">
        <v>535101</v>
      </c>
      <c r="C120" s="147"/>
      <c r="D120" s="19" t="s">
        <v>23</v>
      </c>
      <c r="E120" s="727">
        <v>556759.02</v>
      </c>
    </row>
    <row r="121" spans="1:6" ht="13.15">
      <c r="A121" s="19" t="s">
        <v>47</v>
      </c>
      <c r="B121" s="728">
        <v>20781</v>
      </c>
      <c r="C121" s="147"/>
      <c r="D121" s="19" t="s">
        <v>47</v>
      </c>
      <c r="E121" s="728">
        <v>123976.02</v>
      </c>
    </row>
    <row r="122" spans="1:6" ht="13.15">
      <c r="A122" s="19" t="s">
        <v>48</v>
      </c>
      <c r="B122" s="728">
        <v>418992</v>
      </c>
      <c r="C122" s="147"/>
      <c r="D122" s="19" t="s">
        <v>48</v>
      </c>
      <c r="E122" s="728">
        <v>17953</v>
      </c>
    </row>
    <row r="123" spans="1:6" ht="13.15">
      <c r="A123" s="281"/>
      <c r="B123" s="147"/>
      <c r="C123" s="147"/>
      <c r="D123" s="281"/>
      <c r="E123" s="147"/>
    </row>
    <row r="124" spans="1:6" ht="13.15">
      <c r="A124" s="281"/>
      <c r="B124" s="147"/>
      <c r="C124" s="147"/>
      <c r="D124" s="281"/>
      <c r="E124" s="147"/>
    </row>
    <row r="125" spans="1:6" ht="13.15">
      <c r="A125" s="281"/>
      <c r="B125" s="147"/>
      <c r="C125" s="147"/>
      <c r="D125" s="281"/>
      <c r="E125" s="147"/>
    </row>
    <row r="126" spans="1:6" ht="13.15">
      <c r="A126" s="281"/>
      <c r="B126" s="147"/>
      <c r="C126" s="147"/>
      <c r="D126" s="281"/>
      <c r="E126" s="147"/>
    </row>
    <row r="128" spans="1:6" ht="15.65" thickBot="1">
      <c r="A128" s="814" t="s">
        <v>214</v>
      </c>
      <c r="B128" s="814"/>
      <c r="C128" s="815"/>
      <c r="D128" s="816" t="s">
        <v>217</v>
      </c>
      <c r="E128" s="817"/>
      <c r="F128" s="817"/>
    </row>
    <row r="129" spans="1:6" ht="13.8" thickTop="1" thickBot="1">
      <c r="A129" s="167" t="s">
        <v>299</v>
      </c>
      <c r="B129" s="169" t="s">
        <v>213</v>
      </c>
      <c r="C129" s="170" t="s">
        <v>218</v>
      </c>
      <c r="D129" s="282" t="s">
        <v>299</v>
      </c>
      <c r="E129" s="169" t="s">
        <v>213</v>
      </c>
      <c r="F129" s="170" t="s">
        <v>218</v>
      </c>
    </row>
    <row r="130" spans="1:6" ht="13.8" thickTop="1" thickBot="1">
      <c r="A130" s="165" t="s">
        <v>73</v>
      </c>
      <c r="B130" s="171">
        <v>0.2</v>
      </c>
      <c r="C130" s="172">
        <v>0.8</v>
      </c>
      <c r="D130" s="165" t="s">
        <v>73</v>
      </c>
      <c r="E130" s="171">
        <v>0.2</v>
      </c>
      <c r="F130" s="172">
        <v>0.8</v>
      </c>
    </row>
    <row r="131" spans="1:6" ht="13.8" thickTop="1" thickBot="1">
      <c r="A131" s="165" t="s">
        <v>69</v>
      </c>
      <c r="B131" s="171">
        <v>0.2</v>
      </c>
      <c r="C131" s="172">
        <v>0.8</v>
      </c>
      <c r="D131" s="165" t="s">
        <v>69</v>
      </c>
      <c r="E131" s="171">
        <v>0.2</v>
      </c>
      <c r="F131" s="172">
        <v>0.8</v>
      </c>
    </row>
    <row r="132" spans="1:6" ht="13.8" thickTop="1" thickBot="1">
      <c r="A132" s="173"/>
      <c r="B132" s="174"/>
      <c r="C132" s="175"/>
      <c r="D132" s="173"/>
      <c r="E132" s="174"/>
      <c r="F132" s="175"/>
    </row>
    <row r="133" spans="1:6" ht="13.15" thickTop="1">
      <c r="A133" s="167" t="s">
        <v>300</v>
      </c>
      <c r="B133" s="176" t="s">
        <v>215</v>
      </c>
      <c r="C133" s="177" t="s">
        <v>216</v>
      </c>
      <c r="D133" s="167" t="s">
        <v>300</v>
      </c>
      <c r="E133" s="176" t="s">
        <v>215</v>
      </c>
      <c r="F133" s="177" t="s">
        <v>216</v>
      </c>
    </row>
    <row r="134" spans="1:6" ht="13.15" thickBot="1">
      <c r="A134" s="168" t="s">
        <v>82</v>
      </c>
      <c r="B134" s="178">
        <v>0.8</v>
      </c>
      <c r="C134" s="179">
        <v>0.2</v>
      </c>
      <c r="D134" s="168" t="s">
        <v>82</v>
      </c>
      <c r="E134" s="178">
        <v>0.8</v>
      </c>
      <c r="F134" s="179">
        <v>0.2</v>
      </c>
    </row>
    <row r="135" spans="1:6" ht="13.8" thickTop="1" thickBot="1">
      <c r="A135" s="168" t="s">
        <v>83</v>
      </c>
      <c r="B135" s="178">
        <v>0.8</v>
      </c>
      <c r="C135" s="179">
        <v>0.2</v>
      </c>
      <c r="D135" s="168" t="s">
        <v>83</v>
      </c>
      <c r="E135" s="178">
        <v>0.8</v>
      </c>
      <c r="F135" s="179">
        <v>0.2</v>
      </c>
    </row>
    <row r="136" spans="1:6" ht="13.8" thickTop="1" thickBot="1">
      <c r="A136" s="168" t="s">
        <v>129</v>
      </c>
      <c r="B136" s="178">
        <v>0.8</v>
      </c>
      <c r="C136" s="179">
        <v>0.2</v>
      </c>
      <c r="D136" s="168" t="s">
        <v>129</v>
      </c>
      <c r="E136" s="178">
        <v>0.8</v>
      </c>
      <c r="F136" s="179">
        <v>0.2</v>
      </c>
    </row>
    <row r="137" spans="1:6" ht="13.8" thickTop="1" thickBot="1">
      <c r="A137" s="168" t="s">
        <v>130</v>
      </c>
      <c r="B137" s="178">
        <v>0.8</v>
      </c>
      <c r="C137" s="179">
        <v>0.2</v>
      </c>
      <c r="D137" s="168" t="s">
        <v>130</v>
      </c>
      <c r="E137" s="178">
        <v>0.8</v>
      </c>
      <c r="F137" s="179">
        <v>0.2</v>
      </c>
    </row>
    <row r="138" spans="1:6" ht="13.8" thickTop="1" thickBot="1">
      <c r="A138" s="168" t="s">
        <v>131</v>
      </c>
      <c r="B138" s="178">
        <v>0.8</v>
      </c>
      <c r="C138" s="179">
        <v>0.2</v>
      </c>
      <c r="D138" s="168" t="s">
        <v>131</v>
      </c>
      <c r="E138" s="178">
        <v>0.8</v>
      </c>
      <c r="F138" s="179">
        <v>0.2</v>
      </c>
    </row>
    <row r="139" spans="1:6" ht="13.8" thickTop="1" thickBot="1">
      <c r="A139" s="168" t="s">
        <v>84</v>
      </c>
      <c r="B139" s="178">
        <v>0.8</v>
      </c>
      <c r="C139" s="179">
        <v>0.2</v>
      </c>
      <c r="D139" s="168" t="s">
        <v>84</v>
      </c>
      <c r="E139" s="178">
        <v>0.8</v>
      </c>
      <c r="F139" s="179">
        <v>0.2</v>
      </c>
    </row>
    <row r="140" spans="1:6" ht="13.8" thickTop="1" thickBot="1">
      <c r="A140" s="168" t="s">
        <v>132</v>
      </c>
      <c r="B140" s="178">
        <v>0.8</v>
      </c>
      <c r="C140" s="179">
        <v>0.2</v>
      </c>
      <c r="D140" s="168" t="s">
        <v>132</v>
      </c>
      <c r="E140" s="178">
        <v>0.8</v>
      </c>
      <c r="F140" s="179">
        <v>0.2</v>
      </c>
    </row>
    <row r="141" spans="1:6" ht="13.8" thickTop="1" thickBot="1">
      <c r="A141" s="168" t="s">
        <v>133</v>
      </c>
      <c r="B141" s="178">
        <v>0.8</v>
      </c>
      <c r="C141" s="179">
        <v>0.2</v>
      </c>
      <c r="D141" s="168" t="s">
        <v>133</v>
      </c>
      <c r="E141" s="178">
        <v>0.8</v>
      </c>
      <c r="F141" s="179">
        <v>0.2</v>
      </c>
    </row>
    <row r="142" spans="1:6" ht="13.8" thickTop="1" thickBot="1">
      <c r="A142" s="168" t="s">
        <v>134</v>
      </c>
      <c r="B142" s="178">
        <v>0.8</v>
      </c>
      <c r="C142" s="179">
        <v>0.2</v>
      </c>
      <c r="D142" s="168" t="s">
        <v>134</v>
      </c>
      <c r="E142" s="178">
        <v>0.8</v>
      </c>
      <c r="F142" s="179">
        <v>0.2</v>
      </c>
    </row>
    <row r="143" spans="1:6" ht="13.8" thickTop="1" thickBot="1">
      <c r="A143" s="168" t="s">
        <v>85</v>
      </c>
      <c r="B143" s="178">
        <v>0.8</v>
      </c>
      <c r="C143" s="179">
        <v>0.2</v>
      </c>
      <c r="D143" s="168" t="s">
        <v>85</v>
      </c>
      <c r="E143" s="178">
        <v>0.8</v>
      </c>
      <c r="F143" s="179">
        <v>0.2</v>
      </c>
    </row>
    <row r="144" spans="1:6" ht="13.8" thickTop="1" thickBot="1">
      <c r="A144" s="168" t="s">
        <v>86</v>
      </c>
      <c r="B144" s="178">
        <v>0.8</v>
      </c>
      <c r="C144" s="179">
        <v>0.2</v>
      </c>
      <c r="D144" s="168" t="s">
        <v>86</v>
      </c>
      <c r="E144" s="178">
        <v>0.8</v>
      </c>
      <c r="F144" s="179">
        <v>0.2</v>
      </c>
    </row>
    <row r="145" spans="1:6" ht="13.8" thickTop="1" thickBot="1">
      <c r="A145" s="168" t="s">
        <v>87</v>
      </c>
      <c r="B145" s="178">
        <v>0.8</v>
      </c>
      <c r="C145" s="179">
        <v>0.2</v>
      </c>
      <c r="D145" s="168" t="s">
        <v>87</v>
      </c>
      <c r="E145" s="178">
        <v>0.8</v>
      </c>
      <c r="F145" s="179">
        <v>0.2</v>
      </c>
    </row>
    <row r="146" spans="1:6" ht="13.8" thickTop="1" thickBot="1">
      <c r="A146" s="168" t="s">
        <v>135</v>
      </c>
      <c r="B146" s="178">
        <v>0.8</v>
      </c>
      <c r="C146" s="179">
        <v>0.2</v>
      </c>
      <c r="D146" s="168" t="s">
        <v>135</v>
      </c>
      <c r="E146" s="178">
        <v>0.8</v>
      </c>
      <c r="F146" s="179">
        <v>0.2</v>
      </c>
    </row>
    <row r="147" spans="1:6" ht="13.8" thickTop="1" thickBot="1">
      <c r="A147" s="168" t="s">
        <v>90</v>
      </c>
      <c r="B147" s="178">
        <v>0.8</v>
      </c>
      <c r="C147" s="179">
        <v>0.2</v>
      </c>
      <c r="D147" s="168" t="s">
        <v>90</v>
      </c>
      <c r="E147" s="178">
        <v>0.8</v>
      </c>
      <c r="F147" s="179">
        <v>0.2</v>
      </c>
    </row>
    <row r="148" spans="1:6" ht="13.8" thickTop="1" thickBot="1">
      <c r="A148" s="168" t="s">
        <v>136</v>
      </c>
      <c r="B148" s="178">
        <v>0.8</v>
      </c>
      <c r="C148" s="179">
        <v>0.2</v>
      </c>
      <c r="D148" s="168" t="s">
        <v>136</v>
      </c>
      <c r="E148" s="178">
        <v>0.8</v>
      </c>
      <c r="F148" s="179">
        <v>0.2</v>
      </c>
    </row>
    <row r="149" spans="1:6" ht="13.8" thickTop="1" thickBot="1">
      <c r="A149" s="168" t="s">
        <v>88</v>
      </c>
      <c r="B149" s="178">
        <v>0.8</v>
      </c>
      <c r="C149" s="179">
        <v>0.2</v>
      </c>
      <c r="D149" s="168" t="s">
        <v>88</v>
      </c>
      <c r="E149" s="178">
        <v>0.8</v>
      </c>
      <c r="F149" s="179">
        <v>0.2</v>
      </c>
    </row>
    <row r="150" spans="1:6" ht="13.8" thickTop="1" thickBot="1">
      <c r="A150" s="168" t="s">
        <v>137</v>
      </c>
      <c r="B150" s="178">
        <v>0.8</v>
      </c>
      <c r="C150" s="179">
        <v>0.2</v>
      </c>
      <c r="D150" s="168" t="s">
        <v>137</v>
      </c>
      <c r="E150" s="178">
        <v>0.8</v>
      </c>
      <c r="F150" s="179">
        <v>0.2</v>
      </c>
    </row>
    <row r="151" spans="1:6" ht="13.8" thickTop="1" thickBot="1">
      <c r="A151" s="168" t="s">
        <v>89</v>
      </c>
      <c r="B151" s="178">
        <v>0.8</v>
      </c>
      <c r="C151" s="179">
        <v>0.2</v>
      </c>
      <c r="D151" s="168" t="s">
        <v>89</v>
      </c>
      <c r="E151" s="178">
        <v>0.8</v>
      </c>
      <c r="F151" s="179">
        <v>0.2</v>
      </c>
    </row>
    <row r="152" spans="1:6" ht="13.8" thickTop="1" thickBot="1">
      <c r="A152" s="168" t="s">
        <v>91</v>
      </c>
      <c r="B152" s="178">
        <v>0.8</v>
      </c>
      <c r="C152" s="179">
        <v>0.2</v>
      </c>
      <c r="D152" s="168" t="s">
        <v>91</v>
      </c>
      <c r="E152" s="178">
        <v>0.8</v>
      </c>
      <c r="F152" s="179">
        <v>0.2</v>
      </c>
    </row>
    <row r="153" spans="1:6" ht="13.8" thickTop="1" thickBot="1">
      <c r="A153" s="168" t="s">
        <v>92</v>
      </c>
      <c r="B153" s="178">
        <v>0.8</v>
      </c>
      <c r="C153" s="179">
        <v>0.2</v>
      </c>
      <c r="D153" s="168" t="s">
        <v>92</v>
      </c>
      <c r="E153" s="178">
        <v>0.8</v>
      </c>
      <c r="F153" s="179">
        <v>0.2</v>
      </c>
    </row>
    <row r="154" spans="1:6" ht="13.15" thickTop="1"/>
  </sheetData>
  <mergeCells count="8">
    <mergeCell ref="A2:B2"/>
    <mergeCell ref="D2:E2"/>
    <mergeCell ref="A128:C128"/>
    <mergeCell ref="D128:F128"/>
    <mergeCell ref="A101:C101"/>
    <mergeCell ref="D101:E101"/>
    <mergeCell ref="A55:E55"/>
    <mergeCell ref="A23:E23"/>
  </mergeCells>
  <phoneticPr fontId="31" type="noConversion"/>
  <pageMargins left="0.75" right="0.75" top="1" bottom="1" header="0.5" footer="0.5"/>
  <pageSetup paperSize="9"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8A06-8BEE-4AE8-9180-6C5BA23F69F4}">
  <dimension ref="D4:R101"/>
  <sheetViews>
    <sheetView zoomScaleNormal="100" workbookViewId="0">
      <selection activeCell="D3" sqref="D3"/>
    </sheetView>
  </sheetViews>
  <sheetFormatPr defaultColWidth="8.6640625" defaultRowHeight="12.55"/>
  <cols>
    <col min="1" max="3" width="8.6640625" style="304"/>
    <col min="4" max="4" width="21.44140625" style="304" bestFit="1" customWidth="1"/>
    <col min="5" max="16384" width="8.6640625" style="304"/>
  </cols>
  <sheetData>
    <row r="4" spans="4:18">
      <c r="D4" s="830" t="s">
        <v>342</v>
      </c>
      <c r="E4" s="821" t="s">
        <v>327</v>
      </c>
      <c r="F4" s="822"/>
      <c r="G4" s="822"/>
      <c r="H4" s="822"/>
      <c r="I4" s="822"/>
      <c r="J4" s="822"/>
      <c r="K4" s="823"/>
      <c r="L4" s="821" t="s">
        <v>344</v>
      </c>
      <c r="M4" s="822"/>
      <c r="N4" s="822"/>
      <c r="O4" s="822"/>
      <c r="P4" s="822"/>
      <c r="Q4" s="822"/>
      <c r="R4" s="823"/>
    </row>
    <row r="5" spans="4:18">
      <c r="D5" s="831"/>
      <c r="E5" s="824"/>
      <c r="F5" s="825"/>
      <c r="G5" s="825"/>
      <c r="H5" s="825"/>
      <c r="I5" s="825"/>
      <c r="J5" s="825"/>
      <c r="K5" s="826"/>
      <c r="L5" s="824"/>
      <c r="M5" s="825"/>
      <c r="N5" s="825"/>
      <c r="O5" s="825"/>
      <c r="P5" s="825"/>
      <c r="Q5" s="825"/>
      <c r="R5" s="826"/>
    </row>
    <row r="6" spans="4:18">
      <c r="D6" s="831"/>
      <c r="E6" s="824"/>
      <c r="F6" s="825"/>
      <c r="G6" s="825"/>
      <c r="H6" s="825"/>
      <c r="I6" s="825"/>
      <c r="J6" s="825"/>
      <c r="K6" s="826"/>
      <c r="L6" s="824"/>
      <c r="M6" s="825"/>
      <c r="N6" s="825"/>
      <c r="O6" s="825"/>
      <c r="P6" s="825"/>
      <c r="Q6" s="825"/>
      <c r="R6" s="826"/>
    </row>
    <row r="7" spans="4:18">
      <c r="D7" s="831"/>
      <c r="E7" s="824"/>
      <c r="F7" s="825"/>
      <c r="G7" s="825"/>
      <c r="H7" s="825"/>
      <c r="I7" s="825"/>
      <c r="J7" s="825"/>
      <c r="K7" s="826"/>
      <c r="L7" s="824"/>
      <c r="M7" s="825"/>
      <c r="N7" s="825"/>
      <c r="O7" s="825"/>
      <c r="P7" s="825"/>
      <c r="Q7" s="825"/>
      <c r="R7" s="826"/>
    </row>
    <row r="8" spans="4:18">
      <c r="D8" s="831"/>
      <c r="E8" s="824"/>
      <c r="F8" s="825"/>
      <c r="G8" s="825"/>
      <c r="H8" s="825"/>
      <c r="I8" s="825"/>
      <c r="J8" s="825"/>
      <c r="K8" s="826"/>
      <c r="L8" s="824"/>
      <c r="M8" s="825"/>
      <c r="N8" s="825"/>
      <c r="O8" s="825"/>
      <c r="P8" s="825"/>
      <c r="Q8" s="825"/>
      <c r="R8" s="826"/>
    </row>
    <row r="9" spans="4:18">
      <c r="D9" s="831"/>
      <c r="E9" s="824"/>
      <c r="F9" s="825"/>
      <c r="G9" s="825"/>
      <c r="H9" s="825"/>
      <c r="I9" s="825"/>
      <c r="J9" s="825"/>
      <c r="K9" s="826"/>
      <c r="L9" s="824"/>
      <c r="M9" s="825"/>
      <c r="N9" s="825"/>
      <c r="O9" s="825"/>
      <c r="P9" s="825"/>
      <c r="Q9" s="825"/>
      <c r="R9" s="826"/>
    </row>
    <row r="10" spans="4:18">
      <c r="D10" s="831"/>
      <c r="E10" s="824"/>
      <c r="F10" s="825"/>
      <c r="G10" s="825"/>
      <c r="H10" s="825"/>
      <c r="I10" s="825"/>
      <c r="J10" s="825"/>
      <c r="K10" s="826"/>
      <c r="L10" s="824"/>
      <c r="M10" s="825"/>
      <c r="N10" s="825"/>
      <c r="O10" s="825"/>
      <c r="P10" s="825"/>
      <c r="Q10" s="825"/>
      <c r="R10" s="826"/>
    </row>
    <row r="11" spans="4:18">
      <c r="D11" s="831"/>
      <c r="E11" s="824"/>
      <c r="F11" s="825"/>
      <c r="G11" s="825"/>
      <c r="H11" s="825"/>
      <c r="I11" s="825"/>
      <c r="J11" s="825"/>
      <c r="K11" s="826"/>
      <c r="L11" s="824"/>
      <c r="M11" s="825"/>
      <c r="N11" s="825"/>
      <c r="O11" s="825"/>
      <c r="P11" s="825"/>
      <c r="Q11" s="825"/>
      <c r="R11" s="826"/>
    </row>
    <row r="12" spans="4:18">
      <c r="D12" s="831"/>
      <c r="E12" s="824"/>
      <c r="F12" s="825"/>
      <c r="G12" s="825"/>
      <c r="H12" s="825"/>
      <c r="I12" s="825"/>
      <c r="J12" s="825"/>
      <c r="K12" s="826"/>
      <c r="L12" s="824"/>
      <c r="M12" s="825"/>
      <c r="N12" s="825"/>
      <c r="O12" s="825"/>
      <c r="P12" s="825"/>
      <c r="Q12" s="825"/>
      <c r="R12" s="826"/>
    </row>
    <row r="13" spans="4:18">
      <c r="D13" s="831"/>
      <c r="E13" s="824"/>
      <c r="F13" s="825"/>
      <c r="G13" s="825"/>
      <c r="H13" s="825"/>
      <c r="I13" s="825"/>
      <c r="J13" s="825"/>
      <c r="K13" s="826"/>
      <c r="L13" s="824"/>
      <c r="M13" s="825"/>
      <c r="N13" s="825"/>
      <c r="O13" s="825"/>
      <c r="P13" s="825"/>
      <c r="Q13" s="825"/>
      <c r="R13" s="826"/>
    </row>
    <row r="14" spans="4:18">
      <c r="D14" s="831"/>
      <c r="E14" s="824"/>
      <c r="F14" s="825"/>
      <c r="G14" s="825"/>
      <c r="H14" s="825"/>
      <c r="I14" s="825"/>
      <c r="J14" s="825"/>
      <c r="K14" s="826"/>
      <c r="L14" s="824"/>
      <c r="M14" s="825"/>
      <c r="N14" s="825"/>
      <c r="O14" s="825"/>
      <c r="P14" s="825"/>
      <c r="Q14" s="825"/>
      <c r="R14" s="826"/>
    </row>
    <row r="15" spans="4:18">
      <c r="D15" s="831"/>
      <c r="E15" s="824"/>
      <c r="F15" s="825"/>
      <c r="G15" s="825"/>
      <c r="H15" s="825"/>
      <c r="I15" s="825"/>
      <c r="J15" s="825"/>
      <c r="K15" s="826"/>
      <c r="L15" s="824"/>
      <c r="M15" s="825"/>
      <c r="N15" s="825"/>
      <c r="O15" s="825"/>
      <c r="P15" s="825"/>
      <c r="Q15" s="825"/>
      <c r="R15" s="826"/>
    </row>
    <row r="16" spans="4:18">
      <c r="D16" s="831"/>
      <c r="E16" s="824"/>
      <c r="F16" s="825"/>
      <c r="G16" s="825"/>
      <c r="H16" s="825"/>
      <c r="I16" s="825"/>
      <c r="J16" s="825"/>
      <c r="K16" s="826"/>
      <c r="L16" s="824"/>
      <c r="M16" s="825"/>
      <c r="N16" s="825"/>
      <c r="O16" s="825"/>
      <c r="P16" s="825"/>
      <c r="Q16" s="825"/>
      <c r="R16" s="826"/>
    </row>
    <row r="17" spans="4:18" ht="77.349999999999994" customHeight="1">
      <c r="D17" s="832"/>
      <c r="E17" s="827"/>
      <c r="F17" s="828"/>
      <c r="G17" s="828"/>
      <c r="H17" s="828"/>
      <c r="I17" s="828"/>
      <c r="J17" s="828"/>
      <c r="K17" s="829"/>
      <c r="L17" s="827"/>
      <c r="M17" s="828"/>
      <c r="N17" s="828"/>
      <c r="O17" s="828"/>
      <c r="P17" s="828"/>
      <c r="Q17" s="828"/>
      <c r="R17" s="829"/>
    </row>
    <row r="18" spans="4:18">
      <c r="D18" s="833" t="s">
        <v>341</v>
      </c>
      <c r="E18" s="821" t="s">
        <v>343</v>
      </c>
      <c r="F18" s="822"/>
      <c r="G18" s="822"/>
      <c r="H18" s="822"/>
      <c r="I18" s="822"/>
      <c r="J18" s="822"/>
      <c r="K18" s="823"/>
      <c r="L18" s="821" t="s">
        <v>340</v>
      </c>
      <c r="M18" s="822"/>
      <c r="N18" s="822"/>
      <c r="O18" s="822"/>
      <c r="P18" s="822"/>
      <c r="Q18" s="822"/>
      <c r="R18" s="823"/>
    </row>
    <row r="19" spans="4:18">
      <c r="D19" s="834"/>
      <c r="E19" s="824"/>
      <c r="F19" s="825"/>
      <c r="G19" s="825"/>
      <c r="H19" s="825"/>
      <c r="I19" s="825"/>
      <c r="J19" s="825"/>
      <c r="K19" s="826"/>
      <c r="L19" s="824"/>
      <c r="M19" s="825"/>
      <c r="N19" s="825"/>
      <c r="O19" s="825"/>
      <c r="P19" s="825"/>
      <c r="Q19" s="825"/>
      <c r="R19" s="826"/>
    </row>
    <row r="20" spans="4:18">
      <c r="D20" s="834"/>
      <c r="E20" s="824"/>
      <c r="F20" s="825"/>
      <c r="G20" s="825"/>
      <c r="H20" s="825"/>
      <c r="I20" s="825"/>
      <c r="J20" s="825"/>
      <c r="K20" s="826"/>
      <c r="L20" s="824"/>
      <c r="M20" s="825"/>
      <c r="N20" s="825"/>
      <c r="O20" s="825"/>
      <c r="P20" s="825"/>
      <c r="Q20" s="825"/>
      <c r="R20" s="826"/>
    </row>
    <row r="21" spans="4:18">
      <c r="D21" s="834"/>
      <c r="E21" s="824"/>
      <c r="F21" s="825"/>
      <c r="G21" s="825"/>
      <c r="H21" s="825"/>
      <c r="I21" s="825"/>
      <c r="J21" s="825"/>
      <c r="K21" s="826"/>
      <c r="L21" s="824"/>
      <c r="M21" s="825"/>
      <c r="N21" s="825"/>
      <c r="O21" s="825"/>
      <c r="P21" s="825"/>
      <c r="Q21" s="825"/>
      <c r="R21" s="826"/>
    </row>
    <row r="22" spans="4:18">
      <c r="D22" s="834"/>
      <c r="E22" s="824"/>
      <c r="F22" s="825"/>
      <c r="G22" s="825"/>
      <c r="H22" s="825"/>
      <c r="I22" s="825"/>
      <c r="J22" s="825"/>
      <c r="K22" s="826"/>
      <c r="L22" s="824"/>
      <c r="M22" s="825"/>
      <c r="N22" s="825"/>
      <c r="O22" s="825"/>
      <c r="P22" s="825"/>
      <c r="Q22" s="825"/>
      <c r="R22" s="826"/>
    </row>
    <row r="23" spans="4:18">
      <c r="D23" s="834"/>
      <c r="E23" s="824"/>
      <c r="F23" s="825"/>
      <c r="G23" s="825"/>
      <c r="H23" s="825"/>
      <c r="I23" s="825"/>
      <c r="J23" s="825"/>
      <c r="K23" s="826"/>
      <c r="L23" s="824"/>
      <c r="M23" s="825"/>
      <c r="N23" s="825"/>
      <c r="O23" s="825"/>
      <c r="P23" s="825"/>
      <c r="Q23" s="825"/>
      <c r="R23" s="826"/>
    </row>
    <row r="24" spans="4:18">
      <c r="D24" s="834"/>
      <c r="E24" s="824"/>
      <c r="F24" s="825"/>
      <c r="G24" s="825"/>
      <c r="H24" s="825"/>
      <c r="I24" s="825"/>
      <c r="J24" s="825"/>
      <c r="K24" s="826"/>
      <c r="L24" s="824"/>
      <c r="M24" s="825"/>
      <c r="N24" s="825"/>
      <c r="O24" s="825"/>
      <c r="P24" s="825"/>
      <c r="Q24" s="825"/>
      <c r="R24" s="826"/>
    </row>
    <row r="25" spans="4:18">
      <c r="D25" s="834"/>
      <c r="E25" s="824"/>
      <c r="F25" s="825"/>
      <c r="G25" s="825"/>
      <c r="H25" s="825"/>
      <c r="I25" s="825"/>
      <c r="J25" s="825"/>
      <c r="K25" s="826"/>
      <c r="L25" s="824"/>
      <c r="M25" s="825"/>
      <c r="N25" s="825"/>
      <c r="O25" s="825"/>
      <c r="P25" s="825"/>
      <c r="Q25" s="825"/>
      <c r="R25" s="826"/>
    </row>
    <row r="26" spans="4:18">
      <c r="D26" s="834"/>
      <c r="E26" s="824"/>
      <c r="F26" s="825"/>
      <c r="G26" s="825"/>
      <c r="H26" s="825"/>
      <c r="I26" s="825"/>
      <c r="J26" s="825"/>
      <c r="K26" s="826"/>
      <c r="L26" s="824"/>
      <c r="M26" s="825"/>
      <c r="N26" s="825"/>
      <c r="O26" s="825"/>
      <c r="P26" s="825"/>
      <c r="Q26" s="825"/>
      <c r="R26" s="826"/>
    </row>
    <row r="27" spans="4:18">
      <c r="D27" s="834"/>
      <c r="E27" s="824"/>
      <c r="F27" s="825"/>
      <c r="G27" s="825"/>
      <c r="H27" s="825"/>
      <c r="I27" s="825"/>
      <c r="J27" s="825"/>
      <c r="K27" s="826"/>
      <c r="L27" s="824"/>
      <c r="M27" s="825"/>
      <c r="N27" s="825"/>
      <c r="O27" s="825"/>
      <c r="P27" s="825"/>
      <c r="Q27" s="825"/>
      <c r="R27" s="826"/>
    </row>
    <row r="28" spans="4:18">
      <c r="D28" s="834"/>
      <c r="E28" s="824"/>
      <c r="F28" s="825"/>
      <c r="G28" s="825"/>
      <c r="H28" s="825"/>
      <c r="I28" s="825"/>
      <c r="J28" s="825"/>
      <c r="K28" s="826"/>
      <c r="L28" s="824"/>
      <c r="M28" s="825"/>
      <c r="N28" s="825"/>
      <c r="O28" s="825"/>
      <c r="P28" s="825"/>
      <c r="Q28" s="825"/>
      <c r="R28" s="826"/>
    </row>
    <row r="29" spans="4:18">
      <c r="D29" s="834"/>
      <c r="E29" s="824"/>
      <c r="F29" s="825"/>
      <c r="G29" s="825"/>
      <c r="H29" s="825"/>
      <c r="I29" s="825"/>
      <c r="J29" s="825"/>
      <c r="K29" s="826"/>
      <c r="L29" s="824"/>
      <c r="M29" s="825"/>
      <c r="N29" s="825"/>
      <c r="O29" s="825"/>
      <c r="P29" s="825"/>
      <c r="Q29" s="825"/>
      <c r="R29" s="826"/>
    </row>
    <row r="30" spans="4:18">
      <c r="D30" s="834"/>
      <c r="E30" s="824"/>
      <c r="F30" s="825"/>
      <c r="G30" s="825"/>
      <c r="H30" s="825"/>
      <c r="I30" s="825"/>
      <c r="J30" s="825"/>
      <c r="K30" s="826"/>
      <c r="L30" s="824"/>
      <c r="M30" s="825"/>
      <c r="N30" s="825"/>
      <c r="O30" s="825"/>
      <c r="P30" s="825"/>
      <c r="Q30" s="825"/>
      <c r="R30" s="826"/>
    </row>
    <row r="31" spans="4:18" ht="27.7" customHeight="1">
      <c r="D31" s="835"/>
      <c r="E31" s="827"/>
      <c r="F31" s="828"/>
      <c r="G31" s="828"/>
      <c r="H31" s="828"/>
      <c r="I31" s="828"/>
      <c r="J31" s="828"/>
      <c r="K31" s="829"/>
      <c r="L31" s="827"/>
      <c r="M31" s="828"/>
      <c r="N31" s="828"/>
      <c r="O31" s="828"/>
      <c r="P31" s="828"/>
      <c r="Q31" s="828"/>
      <c r="R31" s="829"/>
    </row>
    <row r="32" spans="4:18">
      <c r="D32" s="833" t="s">
        <v>346</v>
      </c>
      <c r="E32" s="821" t="s">
        <v>328</v>
      </c>
      <c r="F32" s="822"/>
      <c r="G32" s="822"/>
      <c r="H32" s="822"/>
      <c r="I32" s="822"/>
      <c r="J32" s="822"/>
      <c r="K32" s="823"/>
      <c r="L32" s="821" t="s">
        <v>345</v>
      </c>
      <c r="M32" s="822"/>
      <c r="N32" s="822"/>
      <c r="O32" s="822"/>
      <c r="P32" s="822"/>
      <c r="Q32" s="822"/>
      <c r="R32" s="823"/>
    </row>
    <row r="33" spans="4:18">
      <c r="D33" s="834"/>
      <c r="E33" s="824"/>
      <c r="F33" s="825"/>
      <c r="G33" s="825"/>
      <c r="H33" s="825"/>
      <c r="I33" s="825"/>
      <c r="J33" s="825"/>
      <c r="K33" s="826"/>
      <c r="L33" s="824"/>
      <c r="M33" s="825"/>
      <c r="N33" s="825"/>
      <c r="O33" s="825"/>
      <c r="P33" s="825"/>
      <c r="Q33" s="825"/>
      <c r="R33" s="826"/>
    </row>
    <row r="34" spans="4:18">
      <c r="D34" s="834"/>
      <c r="E34" s="824"/>
      <c r="F34" s="825"/>
      <c r="G34" s="825"/>
      <c r="H34" s="825"/>
      <c r="I34" s="825"/>
      <c r="J34" s="825"/>
      <c r="K34" s="826"/>
      <c r="L34" s="824"/>
      <c r="M34" s="825"/>
      <c r="N34" s="825"/>
      <c r="O34" s="825"/>
      <c r="P34" s="825"/>
      <c r="Q34" s="825"/>
      <c r="R34" s="826"/>
    </row>
    <row r="35" spans="4:18">
      <c r="D35" s="834"/>
      <c r="E35" s="824"/>
      <c r="F35" s="825"/>
      <c r="G35" s="825"/>
      <c r="H35" s="825"/>
      <c r="I35" s="825"/>
      <c r="J35" s="825"/>
      <c r="K35" s="826"/>
      <c r="L35" s="824"/>
      <c r="M35" s="825"/>
      <c r="N35" s="825"/>
      <c r="O35" s="825"/>
      <c r="P35" s="825"/>
      <c r="Q35" s="825"/>
      <c r="R35" s="826"/>
    </row>
    <row r="36" spans="4:18">
      <c r="D36" s="834"/>
      <c r="E36" s="824"/>
      <c r="F36" s="825"/>
      <c r="G36" s="825"/>
      <c r="H36" s="825"/>
      <c r="I36" s="825"/>
      <c r="J36" s="825"/>
      <c r="K36" s="826"/>
      <c r="L36" s="824"/>
      <c r="M36" s="825"/>
      <c r="N36" s="825"/>
      <c r="O36" s="825"/>
      <c r="P36" s="825"/>
      <c r="Q36" s="825"/>
      <c r="R36" s="826"/>
    </row>
    <row r="37" spans="4:18">
      <c r="D37" s="834"/>
      <c r="E37" s="824"/>
      <c r="F37" s="825"/>
      <c r="G37" s="825"/>
      <c r="H37" s="825"/>
      <c r="I37" s="825"/>
      <c r="J37" s="825"/>
      <c r="K37" s="826"/>
      <c r="L37" s="824"/>
      <c r="M37" s="825"/>
      <c r="N37" s="825"/>
      <c r="O37" s="825"/>
      <c r="P37" s="825"/>
      <c r="Q37" s="825"/>
      <c r="R37" s="826"/>
    </row>
    <row r="38" spans="4:18">
      <c r="D38" s="834"/>
      <c r="E38" s="824"/>
      <c r="F38" s="825"/>
      <c r="G38" s="825"/>
      <c r="H38" s="825"/>
      <c r="I38" s="825"/>
      <c r="J38" s="825"/>
      <c r="K38" s="826"/>
      <c r="L38" s="824"/>
      <c r="M38" s="825"/>
      <c r="N38" s="825"/>
      <c r="O38" s="825"/>
      <c r="P38" s="825"/>
      <c r="Q38" s="825"/>
      <c r="R38" s="826"/>
    </row>
    <row r="39" spans="4:18">
      <c r="D39" s="834"/>
      <c r="E39" s="824"/>
      <c r="F39" s="825"/>
      <c r="G39" s="825"/>
      <c r="H39" s="825"/>
      <c r="I39" s="825"/>
      <c r="J39" s="825"/>
      <c r="K39" s="826"/>
      <c r="L39" s="824"/>
      <c r="M39" s="825"/>
      <c r="N39" s="825"/>
      <c r="O39" s="825"/>
      <c r="P39" s="825"/>
      <c r="Q39" s="825"/>
      <c r="R39" s="826"/>
    </row>
    <row r="40" spans="4:18">
      <c r="D40" s="834"/>
      <c r="E40" s="824"/>
      <c r="F40" s="825"/>
      <c r="G40" s="825"/>
      <c r="H40" s="825"/>
      <c r="I40" s="825"/>
      <c r="J40" s="825"/>
      <c r="K40" s="826"/>
      <c r="L40" s="824"/>
      <c r="M40" s="825"/>
      <c r="N40" s="825"/>
      <c r="O40" s="825"/>
      <c r="P40" s="825"/>
      <c r="Q40" s="825"/>
      <c r="R40" s="826"/>
    </row>
    <row r="41" spans="4:18">
      <c r="D41" s="834"/>
      <c r="E41" s="824"/>
      <c r="F41" s="825"/>
      <c r="G41" s="825"/>
      <c r="H41" s="825"/>
      <c r="I41" s="825"/>
      <c r="J41" s="825"/>
      <c r="K41" s="826"/>
      <c r="L41" s="824"/>
      <c r="M41" s="825"/>
      <c r="N41" s="825"/>
      <c r="O41" s="825"/>
      <c r="P41" s="825"/>
      <c r="Q41" s="825"/>
      <c r="R41" s="826"/>
    </row>
    <row r="42" spans="4:18">
      <c r="D42" s="834"/>
      <c r="E42" s="824"/>
      <c r="F42" s="825"/>
      <c r="G42" s="825"/>
      <c r="H42" s="825"/>
      <c r="I42" s="825"/>
      <c r="J42" s="825"/>
      <c r="K42" s="826"/>
      <c r="L42" s="824"/>
      <c r="M42" s="825"/>
      <c r="N42" s="825"/>
      <c r="O42" s="825"/>
      <c r="P42" s="825"/>
      <c r="Q42" s="825"/>
      <c r="R42" s="826"/>
    </row>
    <row r="43" spans="4:18">
      <c r="D43" s="834"/>
      <c r="E43" s="824"/>
      <c r="F43" s="825"/>
      <c r="G43" s="825"/>
      <c r="H43" s="825"/>
      <c r="I43" s="825"/>
      <c r="J43" s="825"/>
      <c r="K43" s="826"/>
      <c r="L43" s="824"/>
      <c r="M43" s="825"/>
      <c r="N43" s="825"/>
      <c r="O43" s="825"/>
      <c r="P43" s="825"/>
      <c r="Q43" s="825"/>
      <c r="R43" s="826"/>
    </row>
    <row r="44" spans="4:18">
      <c r="D44" s="834"/>
      <c r="E44" s="824"/>
      <c r="F44" s="825"/>
      <c r="G44" s="825"/>
      <c r="H44" s="825"/>
      <c r="I44" s="825"/>
      <c r="J44" s="825"/>
      <c r="K44" s="826"/>
      <c r="L44" s="824"/>
      <c r="M44" s="825"/>
      <c r="N44" s="825"/>
      <c r="O44" s="825"/>
      <c r="P44" s="825"/>
      <c r="Q44" s="825"/>
      <c r="R44" s="826"/>
    </row>
    <row r="45" spans="4:18" ht="149.19999999999999" customHeight="1">
      <c r="D45" s="835"/>
      <c r="E45" s="827"/>
      <c r="F45" s="828"/>
      <c r="G45" s="828"/>
      <c r="H45" s="828"/>
      <c r="I45" s="828"/>
      <c r="J45" s="828"/>
      <c r="K45" s="829"/>
      <c r="L45" s="827"/>
      <c r="M45" s="828"/>
      <c r="N45" s="828"/>
      <c r="O45" s="828"/>
      <c r="P45" s="828"/>
      <c r="Q45" s="828"/>
      <c r="R45" s="829"/>
    </row>
    <row r="46" spans="4:18">
      <c r="D46" s="833" t="s">
        <v>329</v>
      </c>
      <c r="E46" s="821" t="s">
        <v>330</v>
      </c>
      <c r="F46" s="822"/>
      <c r="G46" s="822"/>
      <c r="H46" s="822"/>
      <c r="I46" s="822"/>
      <c r="J46" s="822"/>
      <c r="K46" s="823"/>
      <c r="L46" s="821" t="s">
        <v>347</v>
      </c>
      <c r="M46" s="822"/>
      <c r="N46" s="822"/>
      <c r="O46" s="822"/>
      <c r="P46" s="822"/>
      <c r="Q46" s="822"/>
      <c r="R46" s="823"/>
    </row>
    <row r="47" spans="4:18">
      <c r="D47" s="834"/>
      <c r="E47" s="824"/>
      <c r="F47" s="825"/>
      <c r="G47" s="825"/>
      <c r="H47" s="825"/>
      <c r="I47" s="825"/>
      <c r="J47" s="825"/>
      <c r="K47" s="826"/>
      <c r="L47" s="824"/>
      <c r="M47" s="825"/>
      <c r="N47" s="825"/>
      <c r="O47" s="825"/>
      <c r="P47" s="825"/>
      <c r="Q47" s="825"/>
      <c r="R47" s="826"/>
    </row>
    <row r="48" spans="4:18">
      <c r="D48" s="834"/>
      <c r="E48" s="824"/>
      <c r="F48" s="825"/>
      <c r="G48" s="825"/>
      <c r="H48" s="825"/>
      <c r="I48" s="825"/>
      <c r="J48" s="825"/>
      <c r="K48" s="826"/>
      <c r="L48" s="824"/>
      <c r="M48" s="825"/>
      <c r="N48" s="825"/>
      <c r="O48" s="825"/>
      <c r="P48" s="825"/>
      <c r="Q48" s="825"/>
      <c r="R48" s="826"/>
    </row>
    <row r="49" spans="4:18">
      <c r="D49" s="834"/>
      <c r="E49" s="824"/>
      <c r="F49" s="825"/>
      <c r="G49" s="825"/>
      <c r="H49" s="825"/>
      <c r="I49" s="825"/>
      <c r="J49" s="825"/>
      <c r="K49" s="826"/>
      <c r="L49" s="824"/>
      <c r="M49" s="825"/>
      <c r="N49" s="825"/>
      <c r="O49" s="825"/>
      <c r="P49" s="825"/>
      <c r="Q49" s="825"/>
      <c r="R49" s="826"/>
    </row>
    <row r="50" spans="4:18">
      <c r="D50" s="834"/>
      <c r="E50" s="824"/>
      <c r="F50" s="825"/>
      <c r="G50" s="825"/>
      <c r="H50" s="825"/>
      <c r="I50" s="825"/>
      <c r="J50" s="825"/>
      <c r="K50" s="826"/>
      <c r="L50" s="824"/>
      <c r="M50" s="825"/>
      <c r="N50" s="825"/>
      <c r="O50" s="825"/>
      <c r="P50" s="825"/>
      <c r="Q50" s="825"/>
      <c r="R50" s="826"/>
    </row>
    <row r="51" spans="4:18">
      <c r="D51" s="834"/>
      <c r="E51" s="824"/>
      <c r="F51" s="825"/>
      <c r="G51" s="825"/>
      <c r="H51" s="825"/>
      <c r="I51" s="825"/>
      <c r="J51" s="825"/>
      <c r="K51" s="826"/>
      <c r="L51" s="824"/>
      <c r="M51" s="825"/>
      <c r="N51" s="825"/>
      <c r="O51" s="825"/>
      <c r="P51" s="825"/>
      <c r="Q51" s="825"/>
      <c r="R51" s="826"/>
    </row>
    <row r="52" spans="4:18">
      <c r="D52" s="834"/>
      <c r="E52" s="824"/>
      <c r="F52" s="825"/>
      <c r="G52" s="825"/>
      <c r="H52" s="825"/>
      <c r="I52" s="825"/>
      <c r="J52" s="825"/>
      <c r="K52" s="826"/>
      <c r="L52" s="824"/>
      <c r="M52" s="825"/>
      <c r="N52" s="825"/>
      <c r="O52" s="825"/>
      <c r="P52" s="825"/>
      <c r="Q52" s="825"/>
      <c r="R52" s="826"/>
    </row>
    <row r="53" spans="4:18">
      <c r="D53" s="834"/>
      <c r="E53" s="824"/>
      <c r="F53" s="825"/>
      <c r="G53" s="825"/>
      <c r="H53" s="825"/>
      <c r="I53" s="825"/>
      <c r="J53" s="825"/>
      <c r="K53" s="826"/>
      <c r="L53" s="824"/>
      <c r="M53" s="825"/>
      <c r="N53" s="825"/>
      <c r="O53" s="825"/>
      <c r="P53" s="825"/>
      <c r="Q53" s="825"/>
      <c r="R53" s="826"/>
    </row>
    <row r="54" spans="4:18">
      <c r="D54" s="834"/>
      <c r="E54" s="824"/>
      <c r="F54" s="825"/>
      <c r="G54" s="825"/>
      <c r="H54" s="825"/>
      <c r="I54" s="825"/>
      <c r="J54" s="825"/>
      <c r="K54" s="826"/>
      <c r="L54" s="824"/>
      <c r="M54" s="825"/>
      <c r="N54" s="825"/>
      <c r="O54" s="825"/>
      <c r="P54" s="825"/>
      <c r="Q54" s="825"/>
      <c r="R54" s="826"/>
    </row>
    <row r="55" spans="4:18">
      <c r="D55" s="834"/>
      <c r="E55" s="824"/>
      <c r="F55" s="825"/>
      <c r="G55" s="825"/>
      <c r="H55" s="825"/>
      <c r="I55" s="825"/>
      <c r="J55" s="825"/>
      <c r="K55" s="826"/>
      <c r="L55" s="824"/>
      <c r="M55" s="825"/>
      <c r="N55" s="825"/>
      <c r="O55" s="825"/>
      <c r="P55" s="825"/>
      <c r="Q55" s="825"/>
      <c r="R55" s="826"/>
    </row>
    <row r="56" spans="4:18">
      <c r="D56" s="834"/>
      <c r="E56" s="824"/>
      <c r="F56" s="825"/>
      <c r="G56" s="825"/>
      <c r="H56" s="825"/>
      <c r="I56" s="825"/>
      <c r="J56" s="825"/>
      <c r="K56" s="826"/>
      <c r="L56" s="824"/>
      <c r="M56" s="825"/>
      <c r="N56" s="825"/>
      <c r="O56" s="825"/>
      <c r="P56" s="825"/>
      <c r="Q56" s="825"/>
      <c r="R56" s="826"/>
    </row>
    <row r="57" spans="4:18">
      <c r="D57" s="834"/>
      <c r="E57" s="824"/>
      <c r="F57" s="825"/>
      <c r="G57" s="825"/>
      <c r="H57" s="825"/>
      <c r="I57" s="825"/>
      <c r="J57" s="825"/>
      <c r="K57" s="826"/>
      <c r="L57" s="824"/>
      <c r="M57" s="825"/>
      <c r="N57" s="825"/>
      <c r="O57" s="825"/>
      <c r="P57" s="825"/>
      <c r="Q57" s="825"/>
      <c r="R57" s="826"/>
    </row>
    <row r="58" spans="4:18">
      <c r="D58" s="834"/>
      <c r="E58" s="824"/>
      <c r="F58" s="825"/>
      <c r="G58" s="825"/>
      <c r="H58" s="825"/>
      <c r="I58" s="825"/>
      <c r="J58" s="825"/>
      <c r="K58" s="826"/>
      <c r="L58" s="824"/>
      <c r="M58" s="825"/>
      <c r="N58" s="825"/>
      <c r="O58" s="825"/>
      <c r="P58" s="825"/>
      <c r="Q58" s="825"/>
      <c r="R58" s="826"/>
    </row>
    <row r="59" spans="4:18">
      <c r="D59" s="835"/>
      <c r="E59" s="827"/>
      <c r="F59" s="828"/>
      <c r="G59" s="828"/>
      <c r="H59" s="828"/>
      <c r="I59" s="828"/>
      <c r="J59" s="828"/>
      <c r="K59" s="829"/>
      <c r="L59" s="827"/>
      <c r="M59" s="828"/>
      <c r="N59" s="828"/>
      <c r="O59" s="828"/>
      <c r="P59" s="828"/>
      <c r="Q59" s="828"/>
      <c r="R59" s="829"/>
    </row>
    <row r="60" spans="4:18">
      <c r="D60" s="833" t="s">
        <v>350</v>
      </c>
      <c r="E60" s="821" t="s">
        <v>348</v>
      </c>
      <c r="F60" s="822"/>
      <c r="G60" s="822"/>
      <c r="H60" s="822"/>
      <c r="I60" s="822"/>
      <c r="J60" s="822"/>
      <c r="K60" s="823"/>
      <c r="L60" s="821" t="s">
        <v>349</v>
      </c>
      <c r="M60" s="822"/>
      <c r="N60" s="822"/>
      <c r="O60" s="822"/>
      <c r="P60" s="822"/>
      <c r="Q60" s="822"/>
      <c r="R60" s="823"/>
    </row>
    <row r="61" spans="4:18">
      <c r="D61" s="834"/>
      <c r="E61" s="824"/>
      <c r="F61" s="825"/>
      <c r="G61" s="825"/>
      <c r="H61" s="825"/>
      <c r="I61" s="825"/>
      <c r="J61" s="825"/>
      <c r="K61" s="826"/>
      <c r="L61" s="824"/>
      <c r="M61" s="825"/>
      <c r="N61" s="825"/>
      <c r="O61" s="825"/>
      <c r="P61" s="825"/>
      <c r="Q61" s="825"/>
      <c r="R61" s="826"/>
    </row>
    <row r="62" spans="4:18">
      <c r="D62" s="834"/>
      <c r="E62" s="824"/>
      <c r="F62" s="825"/>
      <c r="G62" s="825"/>
      <c r="H62" s="825"/>
      <c r="I62" s="825"/>
      <c r="J62" s="825"/>
      <c r="K62" s="826"/>
      <c r="L62" s="824"/>
      <c r="M62" s="825"/>
      <c r="N62" s="825"/>
      <c r="O62" s="825"/>
      <c r="P62" s="825"/>
      <c r="Q62" s="825"/>
      <c r="R62" s="826"/>
    </row>
    <row r="63" spans="4:18">
      <c r="D63" s="834"/>
      <c r="E63" s="824"/>
      <c r="F63" s="825"/>
      <c r="G63" s="825"/>
      <c r="H63" s="825"/>
      <c r="I63" s="825"/>
      <c r="J63" s="825"/>
      <c r="K63" s="826"/>
      <c r="L63" s="824"/>
      <c r="M63" s="825"/>
      <c r="N63" s="825"/>
      <c r="O63" s="825"/>
      <c r="P63" s="825"/>
      <c r="Q63" s="825"/>
      <c r="R63" s="826"/>
    </row>
    <row r="64" spans="4:18">
      <c r="D64" s="834"/>
      <c r="E64" s="824"/>
      <c r="F64" s="825"/>
      <c r="G64" s="825"/>
      <c r="H64" s="825"/>
      <c r="I64" s="825"/>
      <c r="J64" s="825"/>
      <c r="K64" s="826"/>
      <c r="L64" s="824"/>
      <c r="M64" s="825"/>
      <c r="N64" s="825"/>
      <c r="O64" s="825"/>
      <c r="P64" s="825"/>
      <c r="Q64" s="825"/>
      <c r="R64" s="826"/>
    </row>
    <row r="65" spans="4:18">
      <c r="D65" s="834"/>
      <c r="E65" s="824"/>
      <c r="F65" s="825"/>
      <c r="G65" s="825"/>
      <c r="H65" s="825"/>
      <c r="I65" s="825"/>
      <c r="J65" s="825"/>
      <c r="K65" s="826"/>
      <c r="L65" s="824"/>
      <c r="M65" s="825"/>
      <c r="N65" s="825"/>
      <c r="O65" s="825"/>
      <c r="P65" s="825"/>
      <c r="Q65" s="825"/>
      <c r="R65" s="826"/>
    </row>
    <row r="66" spans="4:18">
      <c r="D66" s="834"/>
      <c r="E66" s="824"/>
      <c r="F66" s="825"/>
      <c r="G66" s="825"/>
      <c r="H66" s="825"/>
      <c r="I66" s="825"/>
      <c r="J66" s="825"/>
      <c r="K66" s="826"/>
      <c r="L66" s="824"/>
      <c r="M66" s="825"/>
      <c r="N66" s="825"/>
      <c r="O66" s="825"/>
      <c r="P66" s="825"/>
      <c r="Q66" s="825"/>
      <c r="R66" s="826"/>
    </row>
    <row r="67" spans="4:18">
      <c r="D67" s="834"/>
      <c r="E67" s="824"/>
      <c r="F67" s="825"/>
      <c r="G67" s="825"/>
      <c r="H67" s="825"/>
      <c r="I67" s="825"/>
      <c r="J67" s="825"/>
      <c r="K67" s="826"/>
      <c r="L67" s="824"/>
      <c r="M67" s="825"/>
      <c r="N67" s="825"/>
      <c r="O67" s="825"/>
      <c r="P67" s="825"/>
      <c r="Q67" s="825"/>
      <c r="R67" s="826"/>
    </row>
    <row r="68" spans="4:18">
      <c r="D68" s="834"/>
      <c r="E68" s="824"/>
      <c r="F68" s="825"/>
      <c r="G68" s="825"/>
      <c r="H68" s="825"/>
      <c r="I68" s="825"/>
      <c r="J68" s="825"/>
      <c r="K68" s="826"/>
      <c r="L68" s="824"/>
      <c r="M68" s="825"/>
      <c r="N68" s="825"/>
      <c r="O68" s="825"/>
      <c r="P68" s="825"/>
      <c r="Q68" s="825"/>
      <c r="R68" s="826"/>
    </row>
    <row r="69" spans="4:18">
      <c r="D69" s="834"/>
      <c r="E69" s="824"/>
      <c r="F69" s="825"/>
      <c r="G69" s="825"/>
      <c r="H69" s="825"/>
      <c r="I69" s="825"/>
      <c r="J69" s="825"/>
      <c r="K69" s="826"/>
      <c r="L69" s="824"/>
      <c r="M69" s="825"/>
      <c r="N69" s="825"/>
      <c r="O69" s="825"/>
      <c r="P69" s="825"/>
      <c r="Q69" s="825"/>
      <c r="R69" s="826"/>
    </row>
    <row r="70" spans="4:18">
      <c r="D70" s="834"/>
      <c r="E70" s="824"/>
      <c r="F70" s="825"/>
      <c r="G70" s="825"/>
      <c r="H70" s="825"/>
      <c r="I70" s="825"/>
      <c r="J70" s="825"/>
      <c r="K70" s="826"/>
      <c r="L70" s="824"/>
      <c r="M70" s="825"/>
      <c r="N70" s="825"/>
      <c r="O70" s="825"/>
      <c r="P70" s="825"/>
      <c r="Q70" s="825"/>
      <c r="R70" s="826"/>
    </row>
    <row r="71" spans="4:18">
      <c r="D71" s="834"/>
      <c r="E71" s="824"/>
      <c r="F71" s="825"/>
      <c r="G71" s="825"/>
      <c r="H71" s="825"/>
      <c r="I71" s="825"/>
      <c r="J71" s="825"/>
      <c r="K71" s="826"/>
      <c r="L71" s="824"/>
      <c r="M71" s="825"/>
      <c r="N71" s="825"/>
      <c r="O71" s="825"/>
      <c r="P71" s="825"/>
      <c r="Q71" s="825"/>
      <c r="R71" s="826"/>
    </row>
    <row r="72" spans="4:18">
      <c r="D72" s="834"/>
      <c r="E72" s="824"/>
      <c r="F72" s="825"/>
      <c r="G72" s="825"/>
      <c r="H72" s="825"/>
      <c r="I72" s="825"/>
      <c r="J72" s="825"/>
      <c r="K72" s="826"/>
      <c r="L72" s="824"/>
      <c r="M72" s="825"/>
      <c r="N72" s="825"/>
      <c r="O72" s="825"/>
      <c r="P72" s="825"/>
      <c r="Q72" s="825"/>
      <c r="R72" s="826"/>
    </row>
    <row r="73" spans="4:18" ht="198.8" customHeight="1">
      <c r="D73" s="835"/>
      <c r="E73" s="827"/>
      <c r="F73" s="828"/>
      <c r="G73" s="828"/>
      <c r="H73" s="828"/>
      <c r="I73" s="828"/>
      <c r="J73" s="828"/>
      <c r="K73" s="829"/>
      <c r="L73" s="827"/>
      <c r="M73" s="828"/>
      <c r="N73" s="828"/>
      <c r="O73" s="828"/>
      <c r="P73" s="828"/>
      <c r="Q73" s="828"/>
      <c r="R73" s="829"/>
    </row>
    <row r="74" spans="4:18">
      <c r="D74" s="833" t="s">
        <v>331</v>
      </c>
      <c r="E74" s="821" t="s">
        <v>332</v>
      </c>
      <c r="F74" s="822"/>
      <c r="G74" s="822"/>
      <c r="H74" s="822"/>
      <c r="I74" s="822"/>
      <c r="J74" s="822"/>
      <c r="K74" s="823"/>
      <c r="L74" s="821" t="s">
        <v>351</v>
      </c>
      <c r="M74" s="822"/>
      <c r="N74" s="822"/>
      <c r="O74" s="822"/>
      <c r="P74" s="822"/>
      <c r="Q74" s="822"/>
      <c r="R74" s="823"/>
    </row>
    <row r="75" spans="4:18">
      <c r="D75" s="834"/>
      <c r="E75" s="824"/>
      <c r="F75" s="825"/>
      <c r="G75" s="825"/>
      <c r="H75" s="825"/>
      <c r="I75" s="825"/>
      <c r="J75" s="825"/>
      <c r="K75" s="826"/>
      <c r="L75" s="824"/>
      <c r="M75" s="825"/>
      <c r="N75" s="825"/>
      <c r="O75" s="825"/>
      <c r="P75" s="825"/>
      <c r="Q75" s="825"/>
      <c r="R75" s="826"/>
    </row>
    <row r="76" spans="4:18">
      <c r="D76" s="834"/>
      <c r="E76" s="824"/>
      <c r="F76" s="825"/>
      <c r="G76" s="825"/>
      <c r="H76" s="825"/>
      <c r="I76" s="825"/>
      <c r="J76" s="825"/>
      <c r="K76" s="826"/>
      <c r="L76" s="824"/>
      <c r="M76" s="825"/>
      <c r="N76" s="825"/>
      <c r="O76" s="825"/>
      <c r="P76" s="825"/>
      <c r="Q76" s="825"/>
      <c r="R76" s="826"/>
    </row>
    <row r="77" spans="4:18">
      <c r="D77" s="834"/>
      <c r="E77" s="824"/>
      <c r="F77" s="825"/>
      <c r="G77" s="825"/>
      <c r="H77" s="825"/>
      <c r="I77" s="825"/>
      <c r="J77" s="825"/>
      <c r="K77" s="826"/>
      <c r="L77" s="824"/>
      <c r="M77" s="825"/>
      <c r="N77" s="825"/>
      <c r="O77" s="825"/>
      <c r="P77" s="825"/>
      <c r="Q77" s="825"/>
      <c r="R77" s="826"/>
    </row>
    <row r="78" spans="4:18">
      <c r="D78" s="834"/>
      <c r="E78" s="824"/>
      <c r="F78" s="825"/>
      <c r="G78" s="825"/>
      <c r="H78" s="825"/>
      <c r="I78" s="825"/>
      <c r="J78" s="825"/>
      <c r="K78" s="826"/>
      <c r="L78" s="824"/>
      <c r="M78" s="825"/>
      <c r="N78" s="825"/>
      <c r="O78" s="825"/>
      <c r="P78" s="825"/>
      <c r="Q78" s="825"/>
      <c r="R78" s="826"/>
    </row>
    <row r="79" spans="4:18">
      <c r="D79" s="834"/>
      <c r="E79" s="824"/>
      <c r="F79" s="825"/>
      <c r="G79" s="825"/>
      <c r="H79" s="825"/>
      <c r="I79" s="825"/>
      <c r="J79" s="825"/>
      <c r="K79" s="826"/>
      <c r="L79" s="824"/>
      <c r="M79" s="825"/>
      <c r="N79" s="825"/>
      <c r="O79" s="825"/>
      <c r="P79" s="825"/>
      <c r="Q79" s="825"/>
      <c r="R79" s="826"/>
    </row>
    <row r="80" spans="4:18">
      <c r="D80" s="834"/>
      <c r="E80" s="824"/>
      <c r="F80" s="825"/>
      <c r="G80" s="825"/>
      <c r="H80" s="825"/>
      <c r="I80" s="825"/>
      <c r="J80" s="825"/>
      <c r="K80" s="826"/>
      <c r="L80" s="824"/>
      <c r="M80" s="825"/>
      <c r="N80" s="825"/>
      <c r="O80" s="825"/>
      <c r="P80" s="825"/>
      <c r="Q80" s="825"/>
      <c r="R80" s="826"/>
    </row>
    <row r="81" spans="4:18">
      <c r="D81" s="834"/>
      <c r="E81" s="824"/>
      <c r="F81" s="825"/>
      <c r="G81" s="825"/>
      <c r="H81" s="825"/>
      <c r="I81" s="825"/>
      <c r="J81" s="825"/>
      <c r="K81" s="826"/>
      <c r="L81" s="824"/>
      <c r="M81" s="825"/>
      <c r="N81" s="825"/>
      <c r="O81" s="825"/>
      <c r="P81" s="825"/>
      <c r="Q81" s="825"/>
      <c r="R81" s="826"/>
    </row>
    <row r="82" spans="4:18">
      <c r="D82" s="834"/>
      <c r="E82" s="824"/>
      <c r="F82" s="825"/>
      <c r="G82" s="825"/>
      <c r="H82" s="825"/>
      <c r="I82" s="825"/>
      <c r="J82" s="825"/>
      <c r="K82" s="826"/>
      <c r="L82" s="824"/>
      <c r="M82" s="825"/>
      <c r="N82" s="825"/>
      <c r="O82" s="825"/>
      <c r="P82" s="825"/>
      <c r="Q82" s="825"/>
      <c r="R82" s="826"/>
    </row>
    <row r="83" spans="4:18">
      <c r="D83" s="834"/>
      <c r="E83" s="824"/>
      <c r="F83" s="825"/>
      <c r="G83" s="825"/>
      <c r="H83" s="825"/>
      <c r="I83" s="825"/>
      <c r="J83" s="825"/>
      <c r="K83" s="826"/>
      <c r="L83" s="824"/>
      <c r="M83" s="825"/>
      <c r="N83" s="825"/>
      <c r="O83" s="825"/>
      <c r="P83" s="825"/>
      <c r="Q83" s="825"/>
      <c r="R83" s="826"/>
    </row>
    <row r="84" spans="4:18">
      <c r="D84" s="834"/>
      <c r="E84" s="824"/>
      <c r="F84" s="825"/>
      <c r="G84" s="825"/>
      <c r="H84" s="825"/>
      <c r="I84" s="825"/>
      <c r="J84" s="825"/>
      <c r="K84" s="826"/>
      <c r="L84" s="824"/>
      <c r="M84" s="825"/>
      <c r="N84" s="825"/>
      <c r="O84" s="825"/>
      <c r="P84" s="825"/>
      <c r="Q84" s="825"/>
      <c r="R84" s="826"/>
    </row>
    <row r="85" spans="4:18">
      <c r="D85" s="834"/>
      <c r="E85" s="824"/>
      <c r="F85" s="825"/>
      <c r="G85" s="825"/>
      <c r="H85" s="825"/>
      <c r="I85" s="825"/>
      <c r="J85" s="825"/>
      <c r="K85" s="826"/>
      <c r="L85" s="824"/>
      <c r="M85" s="825"/>
      <c r="N85" s="825"/>
      <c r="O85" s="825"/>
      <c r="P85" s="825"/>
      <c r="Q85" s="825"/>
      <c r="R85" s="826"/>
    </row>
    <row r="86" spans="4:18">
      <c r="D86" s="834"/>
      <c r="E86" s="824"/>
      <c r="F86" s="825"/>
      <c r="G86" s="825"/>
      <c r="H86" s="825"/>
      <c r="I86" s="825"/>
      <c r="J86" s="825"/>
      <c r="K86" s="826"/>
      <c r="L86" s="824"/>
      <c r="M86" s="825"/>
      <c r="N86" s="825"/>
      <c r="O86" s="825"/>
      <c r="P86" s="825"/>
      <c r="Q86" s="825"/>
      <c r="R86" s="826"/>
    </row>
    <row r="87" spans="4:18" ht="242.3" customHeight="1">
      <c r="D87" s="835"/>
      <c r="E87" s="827"/>
      <c r="F87" s="828"/>
      <c r="G87" s="828"/>
      <c r="H87" s="828"/>
      <c r="I87" s="828"/>
      <c r="J87" s="828"/>
      <c r="K87" s="829"/>
      <c r="L87" s="827"/>
      <c r="M87" s="828"/>
      <c r="N87" s="828"/>
      <c r="O87" s="828"/>
      <c r="P87" s="828"/>
      <c r="Q87" s="828"/>
      <c r="R87" s="829"/>
    </row>
    <row r="88" spans="4:18">
      <c r="D88" s="833" t="s">
        <v>353</v>
      </c>
      <c r="E88" s="821" t="s">
        <v>333</v>
      </c>
      <c r="F88" s="822"/>
      <c r="G88" s="822"/>
      <c r="H88" s="822"/>
      <c r="I88" s="822"/>
      <c r="J88" s="822"/>
      <c r="K88" s="823"/>
      <c r="L88" s="821" t="s">
        <v>352</v>
      </c>
      <c r="M88" s="822"/>
      <c r="N88" s="822"/>
      <c r="O88" s="822"/>
      <c r="P88" s="822"/>
      <c r="Q88" s="822"/>
      <c r="R88" s="823"/>
    </row>
    <row r="89" spans="4:18">
      <c r="D89" s="834"/>
      <c r="E89" s="824"/>
      <c r="F89" s="825"/>
      <c r="G89" s="825"/>
      <c r="H89" s="825"/>
      <c r="I89" s="825"/>
      <c r="J89" s="825"/>
      <c r="K89" s="826"/>
      <c r="L89" s="824"/>
      <c r="M89" s="825"/>
      <c r="N89" s="825"/>
      <c r="O89" s="825"/>
      <c r="P89" s="825"/>
      <c r="Q89" s="825"/>
      <c r="R89" s="826"/>
    </row>
    <row r="90" spans="4:18">
      <c r="D90" s="834"/>
      <c r="E90" s="824"/>
      <c r="F90" s="825"/>
      <c r="G90" s="825"/>
      <c r="H90" s="825"/>
      <c r="I90" s="825"/>
      <c r="J90" s="825"/>
      <c r="K90" s="826"/>
      <c r="L90" s="824"/>
      <c r="M90" s="825"/>
      <c r="N90" s="825"/>
      <c r="O90" s="825"/>
      <c r="P90" s="825"/>
      <c r="Q90" s="825"/>
      <c r="R90" s="826"/>
    </row>
    <row r="91" spans="4:18">
      <c r="D91" s="834"/>
      <c r="E91" s="824"/>
      <c r="F91" s="825"/>
      <c r="G91" s="825"/>
      <c r="H91" s="825"/>
      <c r="I91" s="825"/>
      <c r="J91" s="825"/>
      <c r="K91" s="826"/>
      <c r="L91" s="824"/>
      <c r="M91" s="825"/>
      <c r="N91" s="825"/>
      <c r="O91" s="825"/>
      <c r="P91" s="825"/>
      <c r="Q91" s="825"/>
      <c r="R91" s="826"/>
    </row>
    <row r="92" spans="4:18">
      <c r="D92" s="834"/>
      <c r="E92" s="824"/>
      <c r="F92" s="825"/>
      <c r="G92" s="825"/>
      <c r="H92" s="825"/>
      <c r="I92" s="825"/>
      <c r="J92" s="825"/>
      <c r="K92" s="826"/>
      <c r="L92" s="824"/>
      <c r="M92" s="825"/>
      <c r="N92" s="825"/>
      <c r="O92" s="825"/>
      <c r="P92" s="825"/>
      <c r="Q92" s="825"/>
      <c r="R92" s="826"/>
    </row>
    <row r="93" spans="4:18">
      <c r="D93" s="834"/>
      <c r="E93" s="824"/>
      <c r="F93" s="825"/>
      <c r="G93" s="825"/>
      <c r="H93" s="825"/>
      <c r="I93" s="825"/>
      <c r="J93" s="825"/>
      <c r="K93" s="826"/>
      <c r="L93" s="824"/>
      <c r="M93" s="825"/>
      <c r="N93" s="825"/>
      <c r="O93" s="825"/>
      <c r="P93" s="825"/>
      <c r="Q93" s="825"/>
      <c r="R93" s="826"/>
    </row>
    <row r="94" spans="4:18">
      <c r="D94" s="834"/>
      <c r="E94" s="824"/>
      <c r="F94" s="825"/>
      <c r="G94" s="825"/>
      <c r="H94" s="825"/>
      <c r="I94" s="825"/>
      <c r="J94" s="825"/>
      <c r="K94" s="826"/>
      <c r="L94" s="824"/>
      <c r="M94" s="825"/>
      <c r="N94" s="825"/>
      <c r="O94" s="825"/>
      <c r="P94" s="825"/>
      <c r="Q94" s="825"/>
      <c r="R94" s="826"/>
    </row>
    <row r="95" spans="4:18">
      <c r="D95" s="834"/>
      <c r="E95" s="824"/>
      <c r="F95" s="825"/>
      <c r="G95" s="825"/>
      <c r="H95" s="825"/>
      <c r="I95" s="825"/>
      <c r="J95" s="825"/>
      <c r="K95" s="826"/>
      <c r="L95" s="824"/>
      <c r="M95" s="825"/>
      <c r="N95" s="825"/>
      <c r="O95" s="825"/>
      <c r="P95" s="825"/>
      <c r="Q95" s="825"/>
      <c r="R95" s="826"/>
    </row>
    <row r="96" spans="4:18">
      <c r="D96" s="834"/>
      <c r="E96" s="824"/>
      <c r="F96" s="825"/>
      <c r="G96" s="825"/>
      <c r="H96" s="825"/>
      <c r="I96" s="825"/>
      <c r="J96" s="825"/>
      <c r="K96" s="826"/>
      <c r="L96" s="824"/>
      <c r="M96" s="825"/>
      <c r="N96" s="825"/>
      <c r="O96" s="825"/>
      <c r="P96" s="825"/>
      <c r="Q96" s="825"/>
      <c r="R96" s="826"/>
    </row>
    <row r="97" spans="4:18">
      <c r="D97" s="834"/>
      <c r="E97" s="824"/>
      <c r="F97" s="825"/>
      <c r="G97" s="825"/>
      <c r="H97" s="825"/>
      <c r="I97" s="825"/>
      <c r="J97" s="825"/>
      <c r="K97" s="826"/>
      <c r="L97" s="824"/>
      <c r="M97" s="825"/>
      <c r="N97" s="825"/>
      <c r="O97" s="825"/>
      <c r="P97" s="825"/>
      <c r="Q97" s="825"/>
      <c r="R97" s="826"/>
    </row>
    <row r="98" spans="4:18">
      <c r="D98" s="834"/>
      <c r="E98" s="824"/>
      <c r="F98" s="825"/>
      <c r="G98" s="825"/>
      <c r="H98" s="825"/>
      <c r="I98" s="825"/>
      <c r="J98" s="825"/>
      <c r="K98" s="826"/>
      <c r="L98" s="824"/>
      <c r="M98" s="825"/>
      <c r="N98" s="825"/>
      <c r="O98" s="825"/>
      <c r="P98" s="825"/>
      <c r="Q98" s="825"/>
      <c r="R98" s="826"/>
    </row>
    <row r="99" spans="4:18">
      <c r="D99" s="834"/>
      <c r="E99" s="824"/>
      <c r="F99" s="825"/>
      <c r="G99" s="825"/>
      <c r="H99" s="825"/>
      <c r="I99" s="825"/>
      <c r="J99" s="825"/>
      <c r="K99" s="826"/>
      <c r="L99" s="824"/>
      <c r="M99" s="825"/>
      <c r="N99" s="825"/>
      <c r="O99" s="825"/>
      <c r="P99" s="825"/>
      <c r="Q99" s="825"/>
      <c r="R99" s="826"/>
    </row>
    <row r="100" spans="4:18">
      <c r="D100" s="834"/>
      <c r="E100" s="824"/>
      <c r="F100" s="825"/>
      <c r="G100" s="825"/>
      <c r="H100" s="825"/>
      <c r="I100" s="825"/>
      <c r="J100" s="825"/>
      <c r="K100" s="826"/>
      <c r="L100" s="824"/>
      <c r="M100" s="825"/>
      <c r="N100" s="825"/>
      <c r="O100" s="825"/>
      <c r="P100" s="825"/>
      <c r="Q100" s="825"/>
      <c r="R100" s="826"/>
    </row>
    <row r="101" spans="4:18" ht="409.5" customHeight="1">
      <c r="D101" s="835"/>
      <c r="E101" s="827"/>
      <c r="F101" s="828"/>
      <c r="G101" s="828"/>
      <c r="H101" s="828"/>
      <c r="I101" s="828"/>
      <c r="J101" s="828"/>
      <c r="K101" s="829"/>
      <c r="L101" s="827"/>
      <c r="M101" s="828"/>
      <c r="N101" s="828"/>
      <c r="O101" s="828"/>
      <c r="P101" s="828"/>
      <c r="Q101" s="828"/>
      <c r="R101" s="829"/>
    </row>
  </sheetData>
  <mergeCells count="21">
    <mergeCell ref="L74:R87"/>
    <mergeCell ref="L88:R101"/>
    <mergeCell ref="L4:R17"/>
    <mergeCell ref="L18:R31"/>
    <mergeCell ref="L32:R45"/>
    <mergeCell ref="L46:R59"/>
    <mergeCell ref="L60:R73"/>
    <mergeCell ref="D88:D101"/>
    <mergeCell ref="E88:K101"/>
    <mergeCell ref="D46:D59"/>
    <mergeCell ref="E46:K59"/>
    <mergeCell ref="D60:D73"/>
    <mergeCell ref="E60:K73"/>
    <mergeCell ref="D74:D87"/>
    <mergeCell ref="E74:K87"/>
    <mergeCell ref="E4:K17"/>
    <mergeCell ref="D4:D17"/>
    <mergeCell ref="D18:D31"/>
    <mergeCell ref="E18:K31"/>
    <mergeCell ref="D32:D45"/>
    <mergeCell ref="E32:K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A1:AO816"/>
  <sheetViews>
    <sheetView showRowColHeaders="0" zoomScaleNormal="100" workbookViewId="0"/>
  </sheetViews>
  <sheetFormatPr defaultColWidth="9.109375" defaultRowHeight="12.55"/>
  <cols>
    <col min="1" max="1" width="12.33203125" customWidth="1"/>
    <col min="2" max="2" width="103.88671875" customWidth="1"/>
    <col min="3" max="3" width="25.44140625" customWidth="1"/>
    <col min="4" max="4" width="67.44140625" customWidth="1"/>
    <col min="5" max="5" width="22.44140625" bestFit="1" customWidth="1"/>
  </cols>
  <sheetData>
    <row r="1" spans="1:41" s="304" customFormat="1"/>
    <row r="2" spans="1:41" s="304" customFormat="1" ht="13.15">
      <c r="B2" s="305" t="s">
        <v>337</v>
      </c>
    </row>
    <row r="3" spans="1:41" s="304" customFormat="1" ht="35.1">
      <c r="A3" s="306"/>
      <c r="B3" s="307" t="s">
        <v>338</v>
      </c>
      <c r="C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row>
    <row r="4" spans="1:41" ht="23.35" customHeight="1">
      <c r="A4" s="5"/>
      <c r="B4" s="7" t="s">
        <v>259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row>
    <row r="5" spans="1:41" s="6" customFormat="1" ht="6.75" customHeight="1"/>
    <row r="6" spans="1:41" s="6" customFormat="1" ht="6.75" customHeight="1"/>
    <row r="7" spans="1:41" s="6" customFormat="1" ht="6.75" customHeight="1"/>
    <row r="8" spans="1:41" s="6" customFormat="1" ht="6.75" customHeight="1"/>
    <row r="9" spans="1:41" s="6" customFormat="1" ht="6.75" customHeight="1"/>
    <row r="10" spans="1:41" s="6" customFormat="1" ht="17.55">
      <c r="B10" s="8" t="s">
        <v>260</v>
      </c>
    </row>
    <row r="11" spans="1:41" s="6" customFormat="1" ht="6.75" customHeight="1"/>
    <row r="12" spans="1:41" s="6" customFormat="1" ht="6.75" customHeight="1"/>
    <row r="13" spans="1:41" s="6" customFormat="1" ht="6.75" customHeight="1" thickBot="1"/>
    <row r="14" spans="1:41" s="6" customFormat="1" ht="23.35" customHeight="1" thickBot="1">
      <c r="B14" s="9" t="s">
        <v>261</v>
      </c>
    </row>
    <row r="15" spans="1:41" s="6" customFormat="1" ht="6.75" customHeight="1"/>
    <row r="16" spans="1:41" s="6" customFormat="1" ht="6.75" customHeight="1"/>
    <row r="17" spans="2:2" s="6" customFormat="1" ht="6.75" customHeight="1"/>
    <row r="18" spans="2:2" s="6" customFormat="1" ht="6.75" customHeight="1"/>
    <row r="19" spans="2:2" s="6" customFormat="1" ht="17.55">
      <c r="B19" s="8" t="s">
        <v>264</v>
      </c>
    </row>
    <row r="20" spans="2:2" s="6" customFormat="1" ht="6.75" customHeight="1"/>
    <row r="21" spans="2:2" s="6" customFormat="1" ht="6.75" customHeight="1"/>
    <row r="22" spans="2:2" s="6" customFormat="1" ht="6.75" customHeight="1" thickBot="1"/>
    <row r="23" spans="2:2" s="6" customFormat="1" ht="23.35" customHeight="1" thickBot="1">
      <c r="B23" s="283" t="s">
        <v>265</v>
      </c>
    </row>
    <row r="24" spans="2:2" s="6" customFormat="1" ht="9.6999999999999993" customHeight="1"/>
    <row r="25" spans="2:2" s="6" customFormat="1" ht="2.2000000000000002" customHeight="1" thickBot="1"/>
    <row r="26" spans="2:2" s="6" customFormat="1" ht="23.35" customHeight="1" thickBot="1">
      <c r="B26" s="283" t="s">
        <v>266</v>
      </c>
    </row>
    <row r="27" spans="2:2" s="6" customFormat="1" ht="5.35" customHeight="1"/>
    <row r="28" spans="2:2" s="6" customFormat="1" ht="1.6" customHeight="1"/>
    <row r="29" spans="2:2" s="6" customFormat="1" ht="4.55" customHeight="1"/>
    <row r="30" spans="2:2" s="6" customFormat="1" ht="2.2000000000000002" customHeight="1" thickBot="1"/>
    <row r="31" spans="2:2" s="6" customFormat="1" ht="23.35" customHeight="1" thickBot="1">
      <c r="B31" s="283" t="s">
        <v>267</v>
      </c>
    </row>
    <row r="32" spans="2:2" s="6" customFormat="1" ht="4.55" customHeight="1"/>
    <row r="33" spans="2:2" s="6" customFormat="1" ht="6.75" hidden="1" customHeight="1" thickBot="1"/>
    <row r="34" spans="2:2" s="6" customFormat="1" ht="4.55" customHeight="1"/>
    <row r="35" spans="2:2" s="6" customFormat="1" ht="2.2000000000000002" customHeight="1" thickBot="1"/>
    <row r="36" spans="2:2" s="6" customFormat="1" ht="23.35" customHeight="1" thickBot="1">
      <c r="B36" s="283" t="s">
        <v>268</v>
      </c>
    </row>
    <row r="37" spans="2:2" s="6" customFormat="1" ht="6.75" customHeight="1"/>
    <row r="38" spans="2:2" s="6" customFormat="1" ht="6.75" hidden="1" customHeight="1" thickBot="1"/>
    <row r="39" spans="2:2" s="6" customFormat="1" ht="3" customHeight="1" thickBot="1"/>
    <row r="40" spans="2:2" s="6" customFormat="1" ht="6.75" hidden="1" customHeight="1" thickBot="1"/>
    <row r="41" spans="2:2" s="6" customFormat="1" ht="23.35" customHeight="1" thickBot="1">
      <c r="B41" s="283" t="s">
        <v>269</v>
      </c>
    </row>
    <row r="42" spans="2:2" s="6" customFormat="1" ht="8.3000000000000007" customHeight="1"/>
    <row r="43" spans="2:2" s="6" customFormat="1" ht="1.6" customHeight="1" thickBot="1"/>
    <row r="44" spans="2:2" s="6" customFormat="1" ht="23.35" customHeight="1" thickBot="1">
      <c r="B44" s="283" t="s">
        <v>270</v>
      </c>
    </row>
    <row r="45" spans="2:2" s="6" customFormat="1" ht="4.55" customHeight="1"/>
    <row r="46" spans="2:2" s="6" customFormat="1" ht="5.95" customHeight="1" thickBot="1"/>
    <row r="47" spans="2:2" s="6" customFormat="1" ht="23.35" customHeight="1" thickBot="1">
      <c r="B47" s="283" t="s">
        <v>271</v>
      </c>
    </row>
    <row r="48" spans="2:2" s="6" customFormat="1" ht="11.3" customHeight="1" thickBot="1"/>
    <row r="49" spans="2:2" s="6" customFormat="1" ht="6.75" hidden="1" customHeight="1" thickBot="1"/>
    <row r="50" spans="2:2" s="6" customFormat="1" ht="23.35" customHeight="1" thickBot="1">
      <c r="B50" s="283" t="s">
        <v>272</v>
      </c>
    </row>
    <row r="51" spans="2:2" s="6" customFormat="1" ht="4.55" customHeight="1"/>
    <row r="52" spans="2:2" s="6" customFormat="1" ht="5.95" customHeight="1" thickBot="1"/>
    <row r="53" spans="2:2" s="6" customFormat="1" ht="23.35" customHeight="1" thickBot="1">
      <c r="B53" s="283" t="s">
        <v>273</v>
      </c>
    </row>
    <row r="54" spans="2:2" ht="8.3000000000000007" customHeight="1">
      <c r="B54" s="6"/>
    </row>
    <row r="55" spans="2:2" s="6" customFormat="1" ht="2.2000000000000002" customHeight="1" thickBot="1"/>
    <row r="56" spans="2:2" s="6" customFormat="1" ht="23.35" customHeight="1" thickBot="1">
      <c r="B56" s="283" t="s">
        <v>274</v>
      </c>
    </row>
    <row r="57" spans="2:2" ht="10.5" customHeight="1" thickBot="1">
      <c r="B57" s="6"/>
    </row>
    <row r="58" spans="2:2" s="6" customFormat="1" ht="23.35" customHeight="1" thickBot="1">
      <c r="B58" s="283" t="s">
        <v>278</v>
      </c>
    </row>
    <row r="59" spans="2:2" s="6" customFormat="1" ht="4.55" customHeight="1"/>
    <row r="60" spans="2:2" s="6" customFormat="1" ht="5.95" customHeight="1" thickBot="1"/>
    <row r="61" spans="2:2" s="6" customFormat="1" ht="23.35" customHeight="1" thickBot="1">
      <c r="B61" s="283" t="s">
        <v>275</v>
      </c>
    </row>
    <row r="62" spans="2:2" ht="8.3000000000000007" customHeight="1">
      <c r="B62" s="6"/>
    </row>
    <row r="63" spans="2:2" s="6" customFormat="1" ht="2.2000000000000002" customHeight="1" thickBot="1"/>
    <row r="64" spans="2:2" s="6" customFormat="1" ht="23.35" customHeight="1" thickBot="1">
      <c r="B64" s="283" t="s">
        <v>279</v>
      </c>
    </row>
    <row r="65" spans="2:2" ht="10.5" customHeight="1" thickBot="1"/>
    <row r="66" spans="2:2" s="6" customFormat="1" ht="23.35" customHeight="1" thickBot="1">
      <c r="B66" s="283" t="s">
        <v>276</v>
      </c>
    </row>
    <row r="67" spans="2:2" ht="8.3000000000000007" customHeight="1">
      <c r="B67" s="6"/>
    </row>
    <row r="68" spans="2:2" s="6" customFormat="1" ht="2.2000000000000002" customHeight="1" thickBot="1"/>
    <row r="69" spans="2:2" s="6" customFormat="1" ht="23.35" customHeight="1" thickBot="1">
      <c r="B69" s="284" t="s">
        <v>277</v>
      </c>
    </row>
    <row r="70" spans="2:2" ht="10.5" customHeight="1" thickBot="1"/>
    <row r="71" spans="2:2" s="6" customFormat="1" ht="23.35" customHeight="1" thickBot="1">
      <c r="B71" s="737" t="s">
        <v>334</v>
      </c>
    </row>
    <row r="72" spans="2:2" s="304" customFormat="1"/>
    <row r="73" spans="2:2" s="304" customFormat="1"/>
    <row r="74" spans="2:2" s="304" customFormat="1"/>
    <row r="75" spans="2:2" s="304" customFormat="1"/>
    <row r="76" spans="2:2" s="304" customFormat="1"/>
    <row r="77" spans="2:2" s="304" customFormat="1"/>
    <row r="78" spans="2:2" s="304" customFormat="1"/>
    <row r="79" spans="2:2" s="304" customFormat="1"/>
    <row r="80" spans="2:2" s="304" customFormat="1"/>
    <row r="81" s="304" customFormat="1"/>
    <row r="82" s="304" customFormat="1"/>
    <row r="83" s="304" customFormat="1"/>
    <row r="84" s="304" customFormat="1"/>
    <row r="85" s="304" customFormat="1"/>
    <row r="86" s="304" customFormat="1"/>
    <row r="87" s="304" customFormat="1"/>
    <row r="88" s="304" customFormat="1"/>
    <row r="89" s="304" customFormat="1"/>
    <row r="90" s="304" customFormat="1"/>
    <row r="91" s="304" customFormat="1"/>
    <row r="92" s="304" customFormat="1"/>
    <row r="93" s="304" customFormat="1"/>
    <row r="94" s="304" customFormat="1"/>
    <row r="95" s="304" customFormat="1"/>
    <row r="96" s="304" customFormat="1"/>
    <row r="97" s="304" customFormat="1"/>
    <row r="98" s="304" customFormat="1"/>
    <row r="99" s="304" customFormat="1"/>
    <row r="100" s="304" customFormat="1"/>
    <row r="101" s="304" customFormat="1"/>
    <row r="102" s="304" customFormat="1"/>
    <row r="103" s="304" customFormat="1"/>
    <row r="104" s="304" customFormat="1"/>
    <row r="105" s="304" customFormat="1"/>
    <row r="106" s="304" customFormat="1"/>
    <row r="107" s="304" customFormat="1"/>
    <row r="108" s="304" customFormat="1"/>
    <row r="109" s="304" customFormat="1"/>
    <row r="110" s="304" customFormat="1"/>
    <row r="111" s="304" customFormat="1"/>
    <row r="112" s="304" customFormat="1"/>
    <row r="113" s="304" customFormat="1"/>
    <row r="114" s="304" customFormat="1"/>
    <row r="115" s="304" customFormat="1"/>
    <row r="116" s="304" customFormat="1"/>
    <row r="117" s="304" customFormat="1"/>
    <row r="118" s="304" customFormat="1"/>
    <row r="119" s="304" customFormat="1"/>
    <row r="120" s="304" customFormat="1"/>
    <row r="121" s="304" customFormat="1"/>
    <row r="122" s="304" customFormat="1"/>
    <row r="123" s="304" customFormat="1"/>
    <row r="124" s="304" customFormat="1"/>
    <row r="125" s="304" customFormat="1"/>
    <row r="126" s="304" customFormat="1"/>
    <row r="127" s="304" customFormat="1"/>
    <row r="128" s="304" customFormat="1"/>
    <row r="129" s="304" customFormat="1"/>
    <row r="130" s="304" customFormat="1"/>
    <row r="131" s="304" customFormat="1"/>
    <row r="132" s="304" customFormat="1"/>
    <row r="133" s="304" customFormat="1"/>
    <row r="134" s="304" customFormat="1"/>
    <row r="135" s="304" customFormat="1"/>
    <row r="136" s="304" customFormat="1"/>
    <row r="137" s="304" customFormat="1"/>
    <row r="138" s="304" customFormat="1"/>
    <row r="139" s="304" customFormat="1"/>
    <row r="140" s="304" customFormat="1"/>
    <row r="141" s="304" customFormat="1"/>
    <row r="142" s="304" customFormat="1"/>
    <row r="143" s="304" customFormat="1"/>
    <row r="144" s="304" customFormat="1"/>
    <row r="145" s="304" customFormat="1"/>
    <row r="146" s="304" customFormat="1"/>
    <row r="147" s="304" customFormat="1"/>
    <row r="148" s="304" customFormat="1"/>
    <row r="149" s="304" customFormat="1"/>
    <row r="150" s="304" customFormat="1"/>
    <row r="151" s="304" customFormat="1"/>
    <row r="152" s="304" customFormat="1"/>
    <row r="153" s="304" customFormat="1"/>
    <row r="154" s="304" customFormat="1"/>
    <row r="155" s="304" customFormat="1"/>
    <row r="156" s="304" customFormat="1"/>
    <row r="157" s="304" customFormat="1"/>
    <row r="158" s="304" customFormat="1"/>
    <row r="159" s="304" customFormat="1"/>
    <row r="160" s="304" customFormat="1"/>
    <row r="161" s="304" customFormat="1"/>
    <row r="162" s="304" customFormat="1"/>
    <row r="163" s="304" customFormat="1"/>
    <row r="164" s="304" customFormat="1"/>
    <row r="165" s="304" customFormat="1"/>
    <row r="166" s="304" customFormat="1"/>
    <row r="167" s="304" customFormat="1"/>
    <row r="168" s="304" customFormat="1"/>
    <row r="169" s="304" customFormat="1"/>
    <row r="170" s="304" customFormat="1"/>
    <row r="171" s="304" customFormat="1"/>
    <row r="172" s="304" customFormat="1"/>
    <row r="173" s="304" customFormat="1"/>
    <row r="174" s="304" customFormat="1"/>
    <row r="175" s="304" customFormat="1"/>
    <row r="176" s="304" customFormat="1"/>
    <row r="177" s="304" customFormat="1"/>
    <row r="178" s="304" customFormat="1"/>
    <row r="179" s="304" customFormat="1"/>
    <row r="180" s="304" customFormat="1"/>
    <row r="181" s="304" customFormat="1"/>
    <row r="182" s="304" customFormat="1"/>
    <row r="183" s="304" customFormat="1"/>
    <row r="184" s="304" customFormat="1"/>
    <row r="185" s="304" customFormat="1"/>
    <row r="186" s="304" customFormat="1"/>
    <row r="187" s="304" customFormat="1"/>
    <row r="188" s="304" customFormat="1"/>
    <row r="189" s="304" customFormat="1"/>
    <row r="190" s="304" customFormat="1"/>
    <row r="191" s="304" customFormat="1"/>
    <row r="192" s="304" customFormat="1"/>
    <row r="193" s="304" customFormat="1"/>
    <row r="194" s="304" customFormat="1"/>
    <row r="195" s="304" customFormat="1"/>
    <row r="196" s="304" customFormat="1"/>
    <row r="197" s="304" customFormat="1"/>
    <row r="198" s="304" customFormat="1"/>
    <row r="199" s="304" customFormat="1"/>
    <row r="200" s="304" customFormat="1"/>
    <row r="201" s="304" customFormat="1"/>
    <row r="202" s="304" customFormat="1"/>
    <row r="203" s="304" customFormat="1"/>
    <row r="204" s="304" customFormat="1"/>
    <row r="205" s="304" customFormat="1"/>
    <row r="206" s="304" customFormat="1"/>
    <row r="207" s="304" customFormat="1"/>
    <row r="208" s="304" customFormat="1"/>
    <row r="209" s="304" customFormat="1"/>
    <row r="210" s="304" customFormat="1"/>
    <row r="211" s="304" customFormat="1"/>
    <row r="212" s="304" customFormat="1"/>
    <row r="213" s="304" customFormat="1"/>
    <row r="214" s="304" customFormat="1"/>
    <row r="215" s="304" customFormat="1"/>
    <row r="216" s="304" customFormat="1"/>
    <row r="217" s="304" customFormat="1"/>
    <row r="218" s="304" customFormat="1"/>
    <row r="219" s="304" customFormat="1"/>
    <row r="220" s="304" customFormat="1"/>
    <row r="221" s="304" customFormat="1"/>
    <row r="222" s="304" customFormat="1"/>
    <row r="223" s="304" customFormat="1"/>
    <row r="224" s="304" customFormat="1"/>
    <row r="225" s="304" customFormat="1"/>
    <row r="226" s="304" customFormat="1"/>
    <row r="227" s="304" customFormat="1"/>
    <row r="228" s="304" customFormat="1"/>
    <row r="229" s="304" customFormat="1"/>
    <row r="230" s="304" customFormat="1"/>
    <row r="231" s="304" customFormat="1"/>
    <row r="232" s="304" customFormat="1"/>
    <row r="233" s="304" customFormat="1"/>
    <row r="234" s="304" customFormat="1"/>
    <row r="235" s="304" customFormat="1"/>
    <row r="236" s="304" customFormat="1"/>
    <row r="237" s="304" customFormat="1"/>
    <row r="238" s="304" customFormat="1"/>
    <row r="239" s="304" customFormat="1"/>
    <row r="240" s="304" customFormat="1"/>
    <row r="241" s="304" customFormat="1"/>
    <row r="242" s="304" customFormat="1"/>
    <row r="243" s="304" customFormat="1"/>
    <row r="244" s="304" customFormat="1"/>
    <row r="245" s="304" customFormat="1"/>
    <row r="246" s="304" customFormat="1"/>
    <row r="247" s="304" customFormat="1"/>
    <row r="248" s="304" customFormat="1"/>
    <row r="249" s="304" customFormat="1"/>
    <row r="250" s="304" customFormat="1"/>
    <row r="251" s="304" customFormat="1"/>
    <row r="252" s="304" customFormat="1"/>
    <row r="253" s="304" customFormat="1"/>
    <row r="254" s="304" customFormat="1"/>
    <row r="255" s="304" customFormat="1"/>
    <row r="256" s="304" customFormat="1"/>
    <row r="257" s="304" customFormat="1"/>
    <row r="258" s="304" customFormat="1"/>
    <row r="259" s="304" customFormat="1"/>
    <row r="260" s="304" customFormat="1"/>
    <row r="261" s="304" customFormat="1"/>
    <row r="262" s="304" customFormat="1"/>
    <row r="263" s="304" customFormat="1"/>
    <row r="264" s="304" customFormat="1"/>
    <row r="265" s="304" customFormat="1"/>
    <row r="266" s="304" customFormat="1"/>
    <row r="267" s="304" customFormat="1"/>
    <row r="268" s="304" customFormat="1"/>
    <row r="269" s="304" customFormat="1"/>
    <row r="270" s="304" customFormat="1"/>
    <row r="271" s="304" customFormat="1"/>
    <row r="272" s="304" customFormat="1"/>
    <row r="273" s="304" customFormat="1"/>
    <row r="274" s="304" customFormat="1"/>
    <row r="275" s="304" customFormat="1"/>
    <row r="276" s="304" customFormat="1"/>
    <row r="277" s="304" customFormat="1"/>
    <row r="278" s="304" customFormat="1"/>
    <row r="279" s="304" customFormat="1"/>
    <row r="280" s="304" customFormat="1"/>
    <row r="281" s="304" customFormat="1"/>
    <row r="282" s="304" customFormat="1"/>
    <row r="283" s="304" customFormat="1"/>
    <row r="284" s="304" customFormat="1"/>
    <row r="285" s="304" customFormat="1"/>
    <row r="286" s="304" customFormat="1"/>
    <row r="287" s="304" customFormat="1"/>
    <row r="288" s="304" customFormat="1"/>
    <row r="289" s="304" customFormat="1"/>
    <row r="290" s="304" customFormat="1"/>
    <row r="291" s="304" customFormat="1"/>
    <row r="292" s="304" customFormat="1"/>
    <row r="293" s="304" customFormat="1"/>
    <row r="294" s="304" customFormat="1"/>
    <row r="295" s="304" customFormat="1"/>
    <row r="296" s="304" customFormat="1"/>
    <row r="297" s="304" customFormat="1"/>
    <row r="298" s="304" customFormat="1"/>
    <row r="299" s="304" customFormat="1"/>
    <row r="300" s="304" customFormat="1"/>
    <row r="301" s="304" customFormat="1"/>
    <row r="302" s="304" customFormat="1"/>
    <row r="303" s="304" customFormat="1"/>
    <row r="304" s="304" customFormat="1"/>
    <row r="305" s="304" customFormat="1"/>
    <row r="306" s="304" customFormat="1"/>
    <row r="307" s="304" customFormat="1"/>
    <row r="308" s="304" customFormat="1"/>
    <row r="309" s="304" customFormat="1"/>
    <row r="310" s="304" customFormat="1"/>
    <row r="311" s="304" customFormat="1"/>
    <row r="312" s="304" customFormat="1"/>
    <row r="313" s="304" customFormat="1"/>
    <row r="314" s="304" customFormat="1"/>
    <row r="315" s="304" customFormat="1"/>
    <row r="316" s="304" customFormat="1"/>
    <row r="317" s="304" customFormat="1"/>
    <row r="318" s="304" customFormat="1"/>
    <row r="319" s="304" customFormat="1"/>
    <row r="320" s="304" customFormat="1"/>
    <row r="321" s="304" customFormat="1"/>
    <row r="322" s="304" customFormat="1"/>
    <row r="323" s="304" customFormat="1"/>
    <row r="324" s="304" customFormat="1"/>
    <row r="325" s="304" customFormat="1"/>
    <row r="326" s="304" customFormat="1"/>
    <row r="327" s="304" customFormat="1"/>
    <row r="328" s="304" customFormat="1"/>
    <row r="329" s="304" customFormat="1"/>
    <row r="330" s="304" customFormat="1"/>
    <row r="331" s="304" customFormat="1"/>
    <row r="332" s="304" customFormat="1"/>
    <row r="333" s="304" customFormat="1"/>
    <row r="334" s="304" customFormat="1"/>
    <row r="335" s="304" customFormat="1"/>
    <row r="336" s="304" customFormat="1"/>
    <row r="337" s="304" customFormat="1"/>
    <row r="338" s="304" customFormat="1"/>
    <row r="339" s="304" customFormat="1"/>
    <row r="340" s="304" customFormat="1"/>
    <row r="341" s="304" customFormat="1"/>
    <row r="342" s="304" customFormat="1"/>
    <row r="343" s="304" customFormat="1"/>
    <row r="344" s="304" customFormat="1"/>
    <row r="345" s="304" customFormat="1"/>
    <row r="346" s="304" customFormat="1"/>
    <row r="347" s="304" customFormat="1"/>
    <row r="348" s="304" customFormat="1"/>
    <row r="349" s="304" customFormat="1"/>
    <row r="350" s="304" customFormat="1"/>
    <row r="351" s="304" customFormat="1"/>
    <row r="352" s="304" customFormat="1"/>
    <row r="353" s="304" customFormat="1"/>
    <row r="354" s="304" customFormat="1"/>
    <row r="355" s="304" customFormat="1"/>
    <row r="356" s="304" customFormat="1"/>
    <row r="357" s="304" customFormat="1"/>
    <row r="358" s="304" customFormat="1"/>
    <row r="359" s="304" customFormat="1"/>
    <row r="360" s="304" customFormat="1"/>
    <row r="361" s="304" customFormat="1"/>
    <row r="362" s="304" customFormat="1"/>
    <row r="363" s="304" customFormat="1"/>
    <row r="364" s="304" customFormat="1"/>
    <row r="365" s="304" customFormat="1"/>
    <row r="366" s="304" customFormat="1"/>
    <row r="367" s="304" customFormat="1"/>
    <row r="368" s="304" customFormat="1"/>
    <row r="369" s="304" customFormat="1"/>
    <row r="370" s="304" customFormat="1"/>
    <row r="371" s="304" customFormat="1"/>
    <row r="372" s="304" customFormat="1"/>
    <row r="373" s="304" customFormat="1"/>
    <row r="374" s="304" customFormat="1"/>
    <row r="375" s="304" customFormat="1"/>
    <row r="376" s="304" customFormat="1"/>
    <row r="377" s="304" customFormat="1"/>
    <row r="378" s="304" customFormat="1"/>
    <row r="379" s="304" customFormat="1"/>
    <row r="380" s="304" customFormat="1"/>
    <row r="381" s="304" customFormat="1"/>
    <row r="382" s="304" customFormat="1"/>
    <row r="383" s="304" customFormat="1"/>
    <row r="384" s="304" customFormat="1"/>
    <row r="385" s="304" customFormat="1"/>
    <row r="386" s="304" customFormat="1"/>
    <row r="387" s="304" customFormat="1"/>
    <row r="388" s="304" customFormat="1"/>
    <row r="389" s="304" customFormat="1"/>
    <row r="390" s="304" customFormat="1"/>
    <row r="391" s="304" customFormat="1"/>
    <row r="392" s="304" customFormat="1"/>
    <row r="393" s="304" customFormat="1"/>
    <row r="394" s="304" customFormat="1"/>
    <row r="395" s="304" customFormat="1"/>
    <row r="396" s="304" customFormat="1"/>
    <row r="397" s="304" customFormat="1"/>
    <row r="398" s="304" customFormat="1"/>
    <row r="399" s="304" customFormat="1"/>
    <row r="400" s="304" customFormat="1"/>
    <row r="401" s="304" customFormat="1"/>
    <row r="402" s="304" customFormat="1"/>
    <row r="403" s="304" customFormat="1"/>
    <row r="404" s="304" customFormat="1"/>
    <row r="405" s="304" customFormat="1"/>
    <row r="406" s="304" customFormat="1"/>
    <row r="407" s="304" customFormat="1"/>
    <row r="408" s="304" customFormat="1"/>
    <row r="409" s="304" customFormat="1"/>
    <row r="410" s="304" customFormat="1"/>
    <row r="411" s="304" customFormat="1"/>
    <row r="412" s="304" customFormat="1"/>
    <row r="413" s="304" customFormat="1"/>
    <row r="414" s="304" customFormat="1"/>
    <row r="415" s="304" customFormat="1"/>
    <row r="416" s="304" customFormat="1"/>
    <row r="417" s="304" customFormat="1"/>
    <row r="418" s="304" customFormat="1"/>
    <row r="419" s="304" customFormat="1"/>
    <row r="420" s="304" customFormat="1"/>
    <row r="421" s="304" customFormat="1"/>
    <row r="422" s="304" customFormat="1"/>
    <row r="423" s="304" customFormat="1"/>
    <row r="424" s="304" customFormat="1"/>
    <row r="425" s="304" customFormat="1"/>
    <row r="426" s="304" customFormat="1"/>
    <row r="427" s="304" customFormat="1"/>
    <row r="428" s="304" customFormat="1"/>
    <row r="429" s="304" customFormat="1"/>
    <row r="430" s="304" customFormat="1"/>
    <row r="431" s="304" customFormat="1"/>
    <row r="432" s="304" customFormat="1"/>
    <row r="433" s="304" customFormat="1"/>
    <row r="434" s="304" customFormat="1"/>
    <row r="435" s="304" customFormat="1"/>
    <row r="436" s="304" customFormat="1"/>
    <row r="437" s="304" customFormat="1"/>
    <row r="438" s="304" customFormat="1"/>
    <row r="439" s="304" customFormat="1"/>
    <row r="440" s="304" customFormat="1"/>
    <row r="441" s="304" customFormat="1"/>
    <row r="442" s="304" customFormat="1"/>
    <row r="443" s="304" customFormat="1"/>
    <row r="444" s="304" customFormat="1"/>
    <row r="445" s="304" customFormat="1"/>
    <row r="446" s="304" customFormat="1"/>
    <row r="447" s="304" customFormat="1"/>
    <row r="448" s="304" customFormat="1"/>
    <row r="449" s="304" customFormat="1"/>
    <row r="450" s="304" customFormat="1"/>
    <row r="451" s="304" customFormat="1"/>
    <row r="452" s="304" customFormat="1"/>
    <row r="453" s="304" customFormat="1"/>
    <row r="454" s="304" customFormat="1"/>
    <row r="455" s="304" customFormat="1"/>
    <row r="456" s="304" customFormat="1"/>
    <row r="457" s="304" customFormat="1"/>
    <row r="458" s="304" customFormat="1"/>
    <row r="459" s="304" customFormat="1"/>
    <row r="460" s="304" customFormat="1"/>
    <row r="461" s="304" customFormat="1"/>
    <row r="462" s="304" customFormat="1"/>
    <row r="463" s="304" customFormat="1"/>
    <row r="464" s="304" customFormat="1"/>
    <row r="465" s="304" customFormat="1"/>
    <row r="466" s="304" customFormat="1"/>
    <row r="467" s="304" customFormat="1"/>
    <row r="468" s="304" customFormat="1"/>
    <row r="469" s="304" customFormat="1"/>
    <row r="470" s="304" customFormat="1"/>
    <row r="471" s="304" customFormat="1"/>
    <row r="472" s="304" customFormat="1"/>
    <row r="473" s="304" customFormat="1"/>
    <row r="474" s="304" customFormat="1"/>
    <row r="475" s="304" customFormat="1"/>
    <row r="476" s="304" customFormat="1"/>
    <row r="477" s="304" customFormat="1"/>
    <row r="478" s="304" customFormat="1"/>
    <row r="479" s="304" customFormat="1"/>
    <row r="480" s="304" customFormat="1"/>
    <row r="481" s="304" customFormat="1"/>
    <row r="482" s="304" customFormat="1"/>
    <row r="483" s="304" customFormat="1"/>
    <row r="484" s="304" customFormat="1"/>
    <row r="485" s="304" customFormat="1"/>
    <row r="486" s="304" customFormat="1"/>
    <row r="487" s="304" customFormat="1"/>
    <row r="488" s="304" customFormat="1"/>
    <row r="489" s="304" customFormat="1"/>
    <row r="490" s="304" customFormat="1"/>
    <row r="491" s="304" customFormat="1"/>
    <row r="492" s="304" customFormat="1"/>
    <row r="493" s="304" customFormat="1"/>
    <row r="494" s="304" customFormat="1"/>
    <row r="495" s="304" customFormat="1"/>
    <row r="496" s="304" customFormat="1"/>
    <row r="497" s="304" customFormat="1"/>
    <row r="498" s="304" customFormat="1"/>
    <row r="499" s="304" customFormat="1"/>
    <row r="500" s="304" customFormat="1"/>
    <row r="501" s="304" customFormat="1"/>
    <row r="502" s="304" customFormat="1"/>
    <row r="503" s="304" customFormat="1"/>
    <row r="504" s="304" customFormat="1"/>
    <row r="505" s="304" customFormat="1"/>
    <row r="506" s="304" customFormat="1"/>
    <row r="507" s="304" customFormat="1"/>
    <row r="508" s="304" customFormat="1"/>
    <row r="509" s="304" customFormat="1"/>
    <row r="510" s="304" customFormat="1"/>
    <row r="511" s="304" customFormat="1"/>
    <row r="512" s="304" customFormat="1"/>
    <row r="513" s="304" customFormat="1"/>
    <row r="514" s="304" customFormat="1"/>
    <row r="515" s="304" customFormat="1"/>
    <row r="516" s="304" customFormat="1"/>
    <row r="517" s="304" customFormat="1"/>
    <row r="518" s="304" customFormat="1"/>
    <row r="519" s="304" customFormat="1"/>
    <row r="520" s="304" customFormat="1"/>
    <row r="521" s="304" customFormat="1"/>
    <row r="522" s="304" customFormat="1"/>
    <row r="523" s="304" customFormat="1"/>
    <row r="524" s="304" customFormat="1"/>
    <row r="525" s="304" customFormat="1"/>
    <row r="526" s="304" customFormat="1"/>
    <row r="527" s="304" customFormat="1"/>
    <row r="528" s="304" customFormat="1"/>
    <row r="529" s="304" customFormat="1"/>
    <row r="530" s="304" customFormat="1"/>
    <row r="531" s="304" customFormat="1"/>
    <row r="532" s="304" customFormat="1"/>
    <row r="533" s="304" customFormat="1"/>
    <row r="534" s="304" customFormat="1"/>
    <row r="535" s="304" customFormat="1"/>
    <row r="536" s="304" customFormat="1"/>
    <row r="537" s="304" customFormat="1"/>
    <row r="538" s="304" customFormat="1"/>
    <row r="539" s="304" customFormat="1"/>
    <row r="540" s="304" customFormat="1"/>
    <row r="541" s="304" customFormat="1"/>
    <row r="542" s="304" customFormat="1"/>
    <row r="543" s="304" customFormat="1"/>
    <row r="544" s="304" customFormat="1"/>
    <row r="545" s="304" customFormat="1"/>
    <row r="546" s="304" customFormat="1"/>
    <row r="547" s="304" customFormat="1"/>
    <row r="548" s="304" customFormat="1"/>
    <row r="549" s="304" customFormat="1"/>
    <row r="550" s="304" customFormat="1"/>
    <row r="551" s="304" customFormat="1"/>
    <row r="552" s="304" customFormat="1"/>
    <row r="553" s="304" customFormat="1"/>
    <row r="554" s="304" customFormat="1"/>
    <row r="555" s="304" customFormat="1"/>
    <row r="556" s="304" customFormat="1"/>
    <row r="557" s="304" customFormat="1"/>
    <row r="558" s="304" customFormat="1"/>
    <row r="559" s="304" customFormat="1"/>
    <row r="560" s="304" customFormat="1"/>
    <row r="561" s="304" customFormat="1"/>
    <row r="562" s="304" customFormat="1"/>
    <row r="563" s="304" customFormat="1"/>
    <row r="564" s="304" customFormat="1"/>
    <row r="565" s="304" customFormat="1"/>
    <row r="566" s="304" customFormat="1"/>
    <row r="567" s="304" customFormat="1"/>
    <row r="568" s="304" customFormat="1"/>
    <row r="569" s="304" customFormat="1"/>
    <row r="570" s="304" customFormat="1"/>
    <row r="571" s="304" customFormat="1"/>
    <row r="572" s="304" customFormat="1"/>
    <row r="573" s="304" customFormat="1"/>
    <row r="574" s="304" customFormat="1"/>
    <row r="575" s="304" customFormat="1"/>
    <row r="576" s="304" customFormat="1"/>
    <row r="577" s="304" customFormat="1"/>
    <row r="578" s="304" customFormat="1"/>
    <row r="579" s="304" customFormat="1"/>
    <row r="580" s="304" customFormat="1"/>
    <row r="581" s="304" customFormat="1"/>
    <row r="582" s="304" customFormat="1"/>
    <row r="583" s="304" customFormat="1"/>
    <row r="584" s="304" customFormat="1"/>
    <row r="585" s="304" customFormat="1"/>
    <row r="586" s="304" customFormat="1"/>
    <row r="587" s="304" customFormat="1"/>
    <row r="588" s="304" customFormat="1"/>
    <row r="589" s="304" customFormat="1"/>
    <row r="590" s="304" customFormat="1"/>
    <row r="591" s="304" customFormat="1"/>
    <row r="592" s="304" customFormat="1"/>
    <row r="593" s="304" customFormat="1"/>
    <row r="594" s="304" customFormat="1"/>
    <row r="595" s="304" customFormat="1"/>
    <row r="596" s="304" customFormat="1"/>
    <row r="597" s="304" customFormat="1"/>
    <row r="598" s="304" customFormat="1"/>
    <row r="599" s="304" customFormat="1"/>
    <row r="600" s="304" customFormat="1"/>
    <row r="601" s="304" customFormat="1"/>
    <row r="602" s="304" customFormat="1"/>
    <row r="603" s="304" customFormat="1"/>
    <row r="604" s="304" customFormat="1"/>
    <row r="605" s="304" customFormat="1"/>
    <row r="606" s="304" customFormat="1"/>
    <row r="607" s="304" customFormat="1"/>
    <row r="608" s="304" customFormat="1"/>
    <row r="609" s="304" customFormat="1"/>
    <row r="610" s="304" customFormat="1"/>
    <row r="611" s="304" customFormat="1"/>
    <row r="612" s="304" customFormat="1"/>
    <row r="613" s="304" customFormat="1"/>
    <row r="614" s="304" customFormat="1"/>
    <row r="615" s="304" customFormat="1"/>
    <row r="616" s="304" customFormat="1"/>
    <row r="617" s="304" customFormat="1"/>
    <row r="618" s="304" customFormat="1"/>
    <row r="619" s="304" customFormat="1"/>
    <row r="620" s="304" customFormat="1"/>
    <row r="621" s="304" customFormat="1"/>
    <row r="622" s="304" customFormat="1"/>
    <row r="623" s="304" customFormat="1"/>
    <row r="624" s="304" customFormat="1"/>
    <row r="625" s="304" customFormat="1"/>
    <row r="626" s="304" customFormat="1"/>
    <row r="627" s="304" customFormat="1"/>
    <row r="628" s="304" customFormat="1"/>
    <row r="629" s="304" customFormat="1"/>
    <row r="630" s="304" customFormat="1"/>
    <row r="631" s="304" customFormat="1"/>
    <row r="632" s="304" customFormat="1"/>
    <row r="633" s="304" customFormat="1"/>
    <row r="634" s="304" customFormat="1"/>
    <row r="635" s="304" customFormat="1"/>
    <row r="636" s="304" customFormat="1"/>
    <row r="637" s="304" customFormat="1"/>
    <row r="638" s="304" customFormat="1"/>
    <row r="639" s="304" customFormat="1"/>
    <row r="640" s="304" customFormat="1"/>
    <row r="641" s="304" customFormat="1"/>
    <row r="642" s="304" customFormat="1"/>
    <row r="643" s="304" customFormat="1"/>
    <row r="644" s="304" customFormat="1"/>
    <row r="645" s="304" customFormat="1"/>
    <row r="646" s="304" customFormat="1"/>
    <row r="647" s="304" customFormat="1"/>
    <row r="648" s="304" customFormat="1"/>
    <row r="649" s="304" customFormat="1"/>
    <row r="650" s="304" customFormat="1"/>
    <row r="651" s="304" customFormat="1"/>
    <row r="652" s="304" customFormat="1"/>
    <row r="653" s="304" customFormat="1"/>
    <row r="654" s="304" customFormat="1"/>
    <row r="655" s="304" customFormat="1"/>
    <row r="656" s="304" customFormat="1"/>
    <row r="657" s="304" customFormat="1"/>
    <row r="658" s="304" customFormat="1"/>
    <row r="659" s="304" customFormat="1"/>
    <row r="660" s="304" customFormat="1"/>
    <row r="661" s="304" customFormat="1"/>
    <row r="662" s="304" customFormat="1"/>
    <row r="663" s="304" customFormat="1"/>
    <row r="664" s="304" customFormat="1"/>
    <row r="665" s="304" customFormat="1"/>
    <row r="666" s="304" customFormat="1"/>
    <row r="667" s="304" customFormat="1"/>
    <row r="668" s="304" customFormat="1"/>
    <row r="669" s="304" customFormat="1"/>
    <row r="670" s="304" customFormat="1"/>
    <row r="671" s="304" customFormat="1"/>
    <row r="672" s="304" customFormat="1"/>
    <row r="673" s="304" customFormat="1"/>
    <row r="674" s="304" customFormat="1"/>
    <row r="675" s="304" customFormat="1"/>
    <row r="676" s="304" customFormat="1"/>
    <row r="677" s="304" customFormat="1"/>
    <row r="678" s="304" customFormat="1"/>
    <row r="679" s="304" customFormat="1"/>
    <row r="680" s="304" customFormat="1"/>
    <row r="681" s="304" customFormat="1"/>
    <row r="682" s="304" customFormat="1"/>
    <row r="683" s="304" customFormat="1"/>
    <row r="684" s="304" customFormat="1"/>
    <row r="685" s="304" customFormat="1"/>
    <row r="686" s="304" customFormat="1"/>
    <row r="687" s="304" customFormat="1"/>
    <row r="688" s="304" customFormat="1"/>
    <row r="689" s="304" customFormat="1"/>
    <row r="690" s="304" customFormat="1"/>
    <row r="691" s="304" customFormat="1"/>
    <row r="692" s="304" customFormat="1"/>
    <row r="693" s="304" customFormat="1"/>
    <row r="694" s="304" customFormat="1"/>
    <row r="695" s="304" customFormat="1"/>
    <row r="696" s="304" customFormat="1"/>
    <row r="697" s="304" customFormat="1"/>
    <row r="698" s="304" customFormat="1"/>
    <row r="699" s="304" customFormat="1"/>
    <row r="700" s="304" customFormat="1"/>
    <row r="701" s="304" customFormat="1"/>
    <row r="702" s="304" customFormat="1"/>
    <row r="703" s="304" customFormat="1"/>
    <row r="704" s="304" customFormat="1"/>
    <row r="705" s="304" customFormat="1"/>
    <row r="706" s="304" customFormat="1"/>
    <row r="707" s="304" customFormat="1"/>
    <row r="708" s="304" customFormat="1"/>
    <row r="709" s="304" customFormat="1"/>
    <row r="710" s="304" customFormat="1"/>
    <row r="711" s="304" customFormat="1"/>
    <row r="712" s="304" customFormat="1"/>
    <row r="713" s="304" customFormat="1"/>
    <row r="714" s="304" customFormat="1"/>
    <row r="715" s="304" customFormat="1"/>
    <row r="716" s="304" customFormat="1"/>
    <row r="717" s="304" customFormat="1"/>
    <row r="718" s="304" customFormat="1"/>
    <row r="719" s="304" customFormat="1"/>
    <row r="720" s="304" customFormat="1"/>
    <row r="721" s="304" customFormat="1"/>
    <row r="722" s="304" customFormat="1"/>
    <row r="723" s="304" customFormat="1"/>
    <row r="724" s="304" customFormat="1"/>
    <row r="725" s="304" customFormat="1"/>
    <row r="726" s="304" customFormat="1"/>
    <row r="727" s="304" customFormat="1"/>
    <row r="728" s="304" customFormat="1"/>
    <row r="729" s="304" customFormat="1"/>
    <row r="730" s="304" customFormat="1"/>
    <row r="731" s="304" customFormat="1"/>
    <row r="732" s="304" customFormat="1"/>
    <row r="733" s="304" customFormat="1"/>
    <row r="734" s="304" customFormat="1"/>
    <row r="735" s="304" customFormat="1"/>
    <row r="736" s="304" customFormat="1"/>
    <row r="737" s="304" customFormat="1"/>
    <row r="738" s="304" customFormat="1"/>
    <row r="739" s="304" customFormat="1"/>
    <row r="740" s="304" customFormat="1"/>
    <row r="741" s="304" customFormat="1"/>
    <row r="742" s="304" customFormat="1"/>
    <row r="743" s="304" customFormat="1"/>
    <row r="744" s="304" customFormat="1"/>
    <row r="745" s="304" customFormat="1"/>
    <row r="746" s="304" customFormat="1"/>
    <row r="747" s="304" customFormat="1"/>
    <row r="748" s="304" customFormat="1"/>
    <row r="749" s="304" customFormat="1"/>
    <row r="750" s="304" customFormat="1"/>
    <row r="751" s="304" customFormat="1"/>
    <row r="752" s="304" customFormat="1"/>
    <row r="753" s="304" customFormat="1"/>
    <row r="754" s="304" customFormat="1"/>
    <row r="755" s="304" customFormat="1"/>
    <row r="756" s="304" customFormat="1"/>
    <row r="757" s="304" customFormat="1"/>
    <row r="758" s="304" customFormat="1"/>
    <row r="759" s="304" customFormat="1"/>
    <row r="760" s="304" customFormat="1"/>
    <row r="761" s="304" customFormat="1"/>
    <row r="762" s="304" customFormat="1"/>
    <row r="763" s="304" customFormat="1"/>
    <row r="764" s="304" customFormat="1"/>
    <row r="765" s="304" customFormat="1"/>
    <row r="766" s="304" customFormat="1"/>
    <row r="767" s="304" customFormat="1"/>
    <row r="768" s="304" customFormat="1"/>
    <row r="769" s="304" customFormat="1"/>
    <row r="770" s="304" customFormat="1"/>
    <row r="771" s="304" customFormat="1"/>
    <row r="772" s="304" customFormat="1"/>
    <row r="773" s="304" customFormat="1"/>
    <row r="774" s="304" customFormat="1"/>
    <row r="775" s="304" customFormat="1"/>
    <row r="776" s="304" customFormat="1"/>
    <row r="777" s="304" customFormat="1"/>
    <row r="778" s="304" customFormat="1"/>
    <row r="779" s="304" customFormat="1"/>
    <row r="780" s="304" customFormat="1"/>
    <row r="781" s="304" customFormat="1"/>
    <row r="782" s="304" customFormat="1"/>
    <row r="783" s="304" customFormat="1"/>
    <row r="784" s="304" customFormat="1"/>
    <row r="785" s="304" customFormat="1"/>
    <row r="786" s="304" customFormat="1"/>
    <row r="787" s="304" customFormat="1"/>
    <row r="788" s="304" customFormat="1"/>
    <row r="789" s="304" customFormat="1"/>
    <row r="790" s="304" customFormat="1"/>
    <row r="791" s="304" customFormat="1"/>
    <row r="792" s="304" customFormat="1"/>
    <row r="793" s="304" customFormat="1"/>
    <row r="794" s="304" customFormat="1"/>
    <row r="795" s="304" customFormat="1"/>
    <row r="796" s="304" customFormat="1"/>
    <row r="797" s="304" customFormat="1"/>
    <row r="798" s="304" customFormat="1"/>
    <row r="799" s="304" customFormat="1"/>
    <row r="800" s="304" customFormat="1"/>
    <row r="801" s="304" customFormat="1"/>
    <row r="802" s="304" customFormat="1"/>
    <row r="803" s="304" customFormat="1"/>
    <row r="804" s="304" customFormat="1"/>
    <row r="805" s="304" customFormat="1"/>
    <row r="806" s="304" customFormat="1"/>
    <row r="807" s="304" customFormat="1"/>
    <row r="808" s="304" customFormat="1"/>
    <row r="809" s="304" customFormat="1"/>
    <row r="810" s="304" customFormat="1"/>
    <row r="811" s="304" customFormat="1"/>
    <row r="812" s="304" customFormat="1"/>
    <row r="813" s="304" customFormat="1"/>
    <row r="814" s="304" customFormat="1"/>
    <row r="815" s="304" customFormat="1"/>
    <row r="816" s="304" customFormat="1"/>
  </sheetData>
  <hyperlinks>
    <hyperlink ref="B14" location="PRESENTAZIONE!A1" display="                   Presentazione" xr:uid="{00000000-0004-0000-0100-000000000000}"/>
    <hyperlink ref="B23" location="'Bilancio d''Esercizio'!A1" display="                   Bilancio d'esercizio (C/E)" xr:uid="{00000000-0004-0000-0100-000001000000}"/>
    <hyperlink ref="B26" location="'C.E. Riclassificato'!A1" display="                   Conto Economico riclassificato" xr:uid="{00000000-0004-0000-0100-000002000000}"/>
    <hyperlink ref="B31" location="'Risultato Industriale'!A1" display="                   Risultato industriale" xr:uid="{00000000-0004-0000-0100-000003000000}"/>
    <hyperlink ref="B36" location="'Struttura Ricavi'!A1" display="                   Struttura dei Ricavi" xr:uid="{00000000-0004-0000-0100-000004000000}"/>
    <hyperlink ref="B41" location="'Scheda Ricavi'!A1" display="                   Scheda Ricavi" xr:uid="{00000000-0004-0000-0100-000005000000}"/>
    <hyperlink ref="B44" location="'Personale Diretto'!A1" display="                   Costi diretti del personale" xr:uid="{00000000-0004-0000-0100-000006000000}"/>
    <hyperlink ref="B47" location="'Costi diretti'!A1" display="                   Costi diretti" xr:uid="{00000000-0004-0000-0100-000007000000}"/>
    <hyperlink ref="B50" location="'Struttura Costi AZ. A'!A1" display="                   Struttura Costi Azienda A" xr:uid="{00000000-0004-0000-0100-000008000000}"/>
    <hyperlink ref="B53" location="'Struttura Costi AZ. B'!A1" display="                   Struttura Costi Azienda B" xr:uid="{00000000-0004-0000-0100-000009000000}"/>
    <hyperlink ref="B56" location="'BreakEven Point AZ. A'!A1" display="                   Break Even Point Azienda A" xr:uid="{00000000-0004-0000-0100-00000A000000}"/>
    <hyperlink ref="B58" location="'BreakEven Point AZ. A_Prodotti'!A1" display="                   Break Even Point Azienda A_Polpa &amp; Pelato" xr:uid="{00000000-0004-0000-0100-00000B000000}"/>
    <hyperlink ref="B61" location="'BreakEven Point AZ. B'!A1" display="                   Break Even Point Azienda B" xr:uid="{00000000-0004-0000-0100-00000C000000}"/>
    <hyperlink ref="B64" location="'BreakEven Point AZ. B_Prodotti'!A1" display="                   Break Even Point Azienda B_Polpa &amp; Pelato" xr:uid="{00000000-0004-0000-0100-00000D000000}"/>
    <hyperlink ref="B66" location="'SINTESI DELLA SIMULAZIONE'!A1" display="                   Sintesi della simulazione" xr:uid="{00000000-0004-0000-0100-00000E000000}"/>
    <hyperlink ref="B69" location="INPUT!A1" display="                   Foglio INPUT" xr:uid="{00000000-0004-0000-0100-00000F000000}"/>
    <hyperlink ref="B71" location="Legenda!A1" display="                   Legenda" xr:uid="{675409C7-ED47-4C92-AF4D-FAB5139747C6}"/>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2:AO37"/>
  <sheetViews>
    <sheetView showRowColHeaders="0" zoomScaleNormal="100" workbookViewId="0">
      <selection activeCell="B2" sqref="B2"/>
    </sheetView>
  </sheetViews>
  <sheetFormatPr defaultColWidth="9.109375" defaultRowHeight="12.55"/>
  <cols>
    <col min="1" max="1" width="10.5546875" style="1" customWidth="1"/>
    <col min="2" max="2" width="11.6640625" style="1" customWidth="1"/>
    <col min="3" max="8" width="9.109375" style="1"/>
    <col min="9" max="9" width="14.44140625" style="1" customWidth="1"/>
    <col min="10" max="16384" width="9.109375" style="1"/>
  </cols>
  <sheetData>
    <row r="2" spans="1:41" s="304" customFormat="1" ht="16.899999999999999">
      <c r="C2" s="309"/>
      <c r="D2" s="309"/>
      <c r="E2" s="309"/>
      <c r="F2" s="310" t="s">
        <v>281</v>
      </c>
      <c r="G2" s="309"/>
      <c r="H2" s="309"/>
      <c r="I2" s="309"/>
      <c r="M2" s="739" t="s">
        <v>337</v>
      </c>
      <c r="N2" s="309"/>
      <c r="O2" s="309"/>
      <c r="P2" s="309"/>
      <c r="Q2" s="310"/>
      <c r="R2" s="309"/>
      <c r="S2" s="309"/>
      <c r="T2" s="309"/>
    </row>
    <row r="3" spans="1:41" s="304" customFormat="1" ht="16.899999999999999">
      <c r="A3" s="306"/>
      <c r="C3" s="751" t="s">
        <v>289</v>
      </c>
      <c r="D3" s="751"/>
      <c r="E3" s="751"/>
      <c r="F3" s="751"/>
      <c r="G3" s="751"/>
      <c r="H3" s="751"/>
      <c r="I3" s="751"/>
      <c r="J3" s="308"/>
      <c r="K3" s="308"/>
      <c r="L3" s="308"/>
      <c r="M3" s="740" t="s">
        <v>339</v>
      </c>
      <c r="N3" s="738"/>
      <c r="O3" s="738"/>
      <c r="P3" s="738"/>
      <c r="Q3" s="738"/>
      <c r="R3" s="738"/>
      <c r="S3" s="738"/>
      <c r="T3" s="738"/>
      <c r="W3" s="308"/>
      <c r="X3" s="308"/>
      <c r="Y3" s="308"/>
      <c r="Z3" s="308"/>
      <c r="AA3" s="308"/>
      <c r="AB3" s="308"/>
      <c r="AC3" s="308"/>
      <c r="AD3" s="308"/>
      <c r="AE3" s="308"/>
      <c r="AF3" s="308"/>
      <c r="AG3" s="308"/>
      <c r="AH3" s="308"/>
      <c r="AI3" s="308"/>
      <c r="AJ3" s="308"/>
      <c r="AK3" s="308"/>
      <c r="AL3" s="308"/>
      <c r="AM3" s="308"/>
      <c r="AN3" s="308"/>
      <c r="AO3" s="308"/>
    </row>
    <row r="4" spans="1:41" ht="36.799999999999997" customHeight="1">
      <c r="B4" s="2"/>
      <c r="C4" s="2"/>
      <c r="D4" s="749" t="s">
        <v>258</v>
      </c>
      <c r="E4" s="750"/>
      <c r="F4" s="750"/>
      <c r="G4" s="750"/>
      <c r="O4" s="749" t="s">
        <v>336</v>
      </c>
      <c r="P4" s="750" t="s">
        <v>335</v>
      </c>
      <c r="Q4" s="750"/>
    </row>
    <row r="33" spans="1:2" ht="13.15">
      <c r="A33" s="3"/>
      <c r="B33" s="4"/>
    </row>
    <row r="37" spans="1:2">
      <c r="B37" s="4"/>
    </row>
  </sheetData>
  <sheetProtection selectLockedCells="1" selectUnlockedCells="1"/>
  <mergeCells count="3">
    <mergeCell ref="D4:G4"/>
    <mergeCell ref="C3:I3"/>
    <mergeCell ref="O4:Q4"/>
  </mergeCells>
  <printOptions horizontalCentered="1" verticalCentered="1"/>
  <pageMargins left="1.1023622047244095" right="0.55118110236220474" top="0.98425196850393704" bottom="0.98425196850393704" header="0.51181102362204722" footer="0.51181102362204722"/>
  <pageSetup paperSize="9" scale="76" orientation="landscape" r:id="rId1"/>
  <headerFooter alignWithMargins="0">
    <oddHeader>&amp;R&amp;F</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E25"/>
  <sheetViews>
    <sheetView workbookViewId="0">
      <selection sqref="A1:B1"/>
    </sheetView>
  </sheetViews>
  <sheetFormatPr defaultColWidth="9.109375" defaultRowHeight="13.15"/>
  <cols>
    <col min="1" max="1" width="35.33203125" style="12" customWidth="1"/>
    <col min="2" max="2" width="35.5546875" style="12" customWidth="1"/>
    <col min="3" max="3" width="66" style="12" customWidth="1"/>
    <col min="4" max="4" width="18.33203125" style="11" customWidth="1"/>
    <col min="5" max="5" width="14.44140625" style="12" customWidth="1"/>
    <col min="6" max="16384" width="9.109375" style="12"/>
  </cols>
  <sheetData>
    <row r="1" spans="1:5" ht="18.2" thickTop="1">
      <c r="A1" s="752" t="s">
        <v>290</v>
      </c>
      <c r="B1" s="753"/>
      <c r="C1" s="10" t="s">
        <v>291</v>
      </c>
    </row>
    <row r="2" spans="1:5">
      <c r="A2" s="13" t="s">
        <v>105</v>
      </c>
      <c r="B2" s="336">
        <f>B3+B4+B5+B6</f>
        <v>15849302.399999999</v>
      </c>
      <c r="C2" s="337">
        <f>C3+C4+C5+C6</f>
        <v>3396808.2</v>
      </c>
    </row>
    <row r="3" spans="1:5">
      <c r="A3" s="14" t="s">
        <v>106</v>
      </c>
      <c r="B3" s="338">
        <f>'Scheda Ricavi'!B12</f>
        <v>15849302.399999999</v>
      </c>
      <c r="C3" s="339">
        <f>'Scheda Ricavi'!B25</f>
        <v>3396808.2</v>
      </c>
    </row>
    <row r="4" spans="1:5">
      <c r="A4" s="14"/>
      <c r="B4" s="338"/>
      <c r="C4" s="340"/>
    </row>
    <row r="5" spans="1:5">
      <c r="A5" s="14"/>
      <c r="B5" s="338"/>
      <c r="C5" s="340"/>
    </row>
    <row r="6" spans="1:5">
      <c r="A6" s="14"/>
      <c r="B6" s="338"/>
      <c r="C6" s="340"/>
    </row>
    <row r="7" spans="1:5">
      <c r="A7" s="13" t="s">
        <v>107</v>
      </c>
      <c r="B7" s="336">
        <f>B8+B9+B10+B11+B12+B13</f>
        <v>16532332.668545999</v>
      </c>
      <c r="C7" s="337">
        <f>C8+C10+C11+C12+C13</f>
        <v>5750509.0929639991</v>
      </c>
    </row>
    <row r="8" spans="1:5">
      <c r="A8" s="14" t="s">
        <v>108</v>
      </c>
      <c r="B8" s="338">
        <f>'Costi diretti'!B18+'Costi diretti'!F18</f>
        <v>14108701.668545999</v>
      </c>
      <c r="C8" s="340">
        <f>'Costi diretti'!B69+'Costi diretti'!F69</f>
        <v>4638226.0729639996</v>
      </c>
      <c r="E8" s="15"/>
    </row>
    <row r="9" spans="1:5">
      <c r="A9" s="14"/>
      <c r="B9" s="338"/>
      <c r="C9" s="340"/>
    </row>
    <row r="10" spans="1:5">
      <c r="A10" s="14" t="s">
        <v>109</v>
      </c>
      <c r="B10" s="338">
        <f>SUM('C.E. Riclassificato'!B13:B28)</f>
        <v>1983858</v>
      </c>
      <c r="C10" s="340">
        <f>SUM('C.E. Riclassificato'!B63:B78)</f>
        <v>970354</v>
      </c>
    </row>
    <row r="11" spans="1:5">
      <c r="A11" s="14" t="s">
        <v>110</v>
      </c>
      <c r="B11" s="338">
        <f>'C.E. Riclassificato'!B30</f>
        <v>20781</v>
      </c>
      <c r="C11" s="340">
        <f>'C.E. Riclassificato'!B80</f>
        <v>123976.02</v>
      </c>
    </row>
    <row r="12" spans="1:5">
      <c r="A12" s="14" t="s">
        <v>111</v>
      </c>
      <c r="B12" s="338">
        <f>'C.E. Riclassificato'!B31</f>
        <v>418992</v>
      </c>
      <c r="C12" s="340">
        <f>'C.E. Riclassificato'!B81</f>
        <v>17953</v>
      </c>
      <c r="E12" s="15"/>
    </row>
    <row r="13" spans="1:5">
      <c r="A13" s="14"/>
      <c r="B13" s="338"/>
      <c r="C13" s="340"/>
    </row>
    <row r="14" spans="1:5">
      <c r="A14" s="13" t="s">
        <v>112</v>
      </c>
      <c r="B14" s="336">
        <f>B3+B4+B5+B6-B8-B9-B10-B11-B12-B13</f>
        <v>-683030.26854600012</v>
      </c>
      <c r="C14" s="337">
        <f>C2-C7</f>
        <v>-2353700.892963999</v>
      </c>
    </row>
    <row r="15" spans="1:5">
      <c r="A15" s="14" t="s">
        <v>113</v>
      </c>
      <c r="B15" s="338">
        <f>'Struttura Costi AZ. A'!B9+'Costi diretti'!B17+'Costi diretti'!F17</f>
        <v>1892137</v>
      </c>
      <c r="C15" s="340">
        <f>'Costi diretti'!B68+'Costi diretti'!F68+'Struttura Costi AZ. B'!B9</f>
        <v>818061</v>
      </c>
    </row>
    <row r="16" spans="1:5">
      <c r="A16" s="13" t="s">
        <v>114</v>
      </c>
      <c r="B16" s="336">
        <f>B14-B15</f>
        <v>-2575167.2685460001</v>
      </c>
      <c r="C16" s="337">
        <f>C14-C15</f>
        <v>-3171761.892963999</v>
      </c>
    </row>
    <row r="17" spans="1:5">
      <c r="A17" s="14" t="s">
        <v>115</v>
      </c>
      <c r="B17" s="341">
        <f>INPUT!B120</f>
        <v>535101</v>
      </c>
      <c r="C17" s="340">
        <f>'C.E. Riclassificato'!B79</f>
        <v>556759.02</v>
      </c>
    </row>
    <row r="18" spans="1:5">
      <c r="A18" s="13" t="s">
        <v>116</v>
      </c>
      <c r="B18" s="342">
        <f>B16-B17</f>
        <v>-3110268.2685460001</v>
      </c>
      <c r="C18" s="337">
        <f>C16-C17</f>
        <v>-3728520.912963999</v>
      </c>
    </row>
    <row r="19" spans="1:5" ht="18" customHeight="1">
      <c r="A19" s="14" t="s">
        <v>117</v>
      </c>
      <c r="B19" s="338">
        <f>'C.E. Riclassificato'!B38</f>
        <v>-283640</v>
      </c>
      <c r="C19" s="340">
        <f>'C.E. Riclassificato'!B88</f>
        <v>-430710</v>
      </c>
      <c r="E19" s="15"/>
    </row>
    <row r="20" spans="1:5">
      <c r="A20" s="14"/>
      <c r="B20" s="338"/>
      <c r="C20" s="340"/>
    </row>
    <row r="21" spans="1:5" ht="21.95">
      <c r="A21" s="14" t="s">
        <v>285</v>
      </c>
      <c r="B21" s="338">
        <f>'C.E. Riclassificato'!B41</f>
        <v>460795</v>
      </c>
      <c r="C21" s="340">
        <f>'C.E. Riclassificato'!B91</f>
        <v>-193208</v>
      </c>
      <c r="E21" s="15"/>
    </row>
    <row r="22" spans="1:5">
      <c r="A22" s="13" t="s">
        <v>118</v>
      </c>
      <c r="B22" s="336">
        <f>B18+B19+B20+B21</f>
        <v>-2933113.2685460001</v>
      </c>
      <c r="C22" s="343">
        <f>C18+C19+C21</f>
        <v>-4352438.9129639994</v>
      </c>
    </row>
    <row r="23" spans="1:5">
      <c r="A23" s="14" t="s">
        <v>119</v>
      </c>
      <c r="B23" s="341">
        <f>'C.E. Riclassificato'!B45+'C.E. Riclassificato'!B46</f>
        <v>0</v>
      </c>
      <c r="C23" s="344">
        <f>'C.E. Riclassificato'!B95+'C.E. Riclassificato'!B96</f>
        <v>0</v>
      </c>
    </row>
    <row r="24" spans="1:5" ht="13.8" thickBot="1">
      <c r="A24" s="16" t="s">
        <v>120</v>
      </c>
      <c r="B24" s="345">
        <f>B22-B23</f>
        <v>-2933113.2685460001</v>
      </c>
      <c r="C24" s="346">
        <f>C22-C23</f>
        <v>-4352438.9129639994</v>
      </c>
    </row>
    <row r="25" spans="1:5" ht="13.8" thickTop="1"/>
  </sheetData>
  <mergeCells count="1">
    <mergeCell ref="A1:B1"/>
  </mergeCells>
  <phoneticPr fontId="31" type="noConversion"/>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15">
    <pageSetUpPr fitToPage="1"/>
  </sheetPr>
  <dimension ref="A1:D99"/>
  <sheetViews>
    <sheetView zoomScaleNormal="100" zoomScaleSheetLayoutView="100" workbookViewId="0">
      <selection activeCell="A13" sqref="A13"/>
    </sheetView>
  </sheetViews>
  <sheetFormatPr defaultColWidth="9.109375" defaultRowHeight="12.55"/>
  <cols>
    <col min="1" max="1" width="110.6640625" style="22" bestFit="1" customWidth="1"/>
    <col min="2" max="2" width="21.6640625" style="358" customWidth="1"/>
    <col min="3" max="3" width="14.109375" style="22" bestFit="1" customWidth="1"/>
    <col min="4" max="4" width="14.44140625" style="22" customWidth="1"/>
    <col min="5" max="5" width="9.33203125" style="22" bestFit="1" customWidth="1"/>
    <col min="6" max="16384" width="9.109375" style="22"/>
  </cols>
  <sheetData>
    <row r="1" spans="1:4" ht="28.5" customHeight="1">
      <c r="A1" s="754" t="s">
        <v>308</v>
      </c>
      <c r="B1" s="755"/>
    </row>
    <row r="2" spans="1:4" ht="13.15">
      <c r="A2" s="347" t="s">
        <v>1</v>
      </c>
      <c r="B2" s="359">
        <v>44926</v>
      </c>
    </row>
    <row r="3" spans="1:4" s="17" customFormat="1" ht="13.15">
      <c r="A3" s="348" t="s">
        <v>304</v>
      </c>
      <c r="B3" s="362">
        <f>'Scheda Ricavi'!B12</f>
        <v>15849302.399999999</v>
      </c>
      <c r="C3" s="730"/>
    </row>
    <row r="4" spans="1:4">
      <c r="A4" s="349" t="s">
        <v>73</v>
      </c>
      <c r="B4" s="363">
        <f>'Scheda Ricavi'!B6</f>
        <v>7267278.7999999998</v>
      </c>
    </row>
    <row r="5" spans="1:4">
      <c r="A5" s="349" t="s">
        <v>69</v>
      </c>
      <c r="B5" s="363">
        <f>'Scheda Ricavi'!B10</f>
        <v>8582023.5999999996</v>
      </c>
    </row>
    <row r="6" spans="1:4" ht="13.15">
      <c r="A6" s="349"/>
      <c r="B6" s="362"/>
    </row>
    <row r="7" spans="1:4" ht="13.15">
      <c r="A7" s="349"/>
      <c r="B7" s="362"/>
    </row>
    <row r="8" spans="1:4" ht="13.15">
      <c r="A8" s="350" t="s">
        <v>305</v>
      </c>
      <c r="B8" s="362">
        <f>'Struttura Costi AZ. A'!B6</f>
        <v>14428501.668545999</v>
      </c>
    </row>
    <row r="9" spans="1:4" ht="13.15">
      <c r="A9" s="349"/>
      <c r="B9" s="362"/>
    </row>
    <row r="10" spans="1:4" ht="13.15">
      <c r="A10" s="348" t="s">
        <v>306</v>
      </c>
      <c r="B10" s="362">
        <f>B3+B6+B7-B8</f>
        <v>1420800.7314539999</v>
      </c>
    </row>
    <row r="11" spans="1:4">
      <c r="A11" s="351" t="s">
        <v>5</v>
      </c>
      <c r="B11" s="360"/>
      <c r="C11" s="18"/>
    </row>
    <row r="12" spans="1:4">
      <c r="A12" s="86" t="str">
        <f>'Struttura Costi AZ. A'!A9</f>
        <v>PERSONALE</v>
      </c>
      <c r="B12" s="363">
        <f>'Struttura Costi AZ. A'!B9</f>
        <v>1572337</v>
      </c>
      <c r="D12" s="352"/>
    </row>
    <row r="13" spans="1:4">
      <c r="A13" s="86" t="str">
        <f>'Struttura Costi AZ. A'!A10</f>
        <v>TELEFONO</v>
      </c>
      <c r="B13" s="364">
        <f>INPUT!B104</f>
        <v>57510</v>
      </c>
    </row>
    <row r="14" spans="1:4">
      <c r="A14" s="86" t="str">
        <f>'Struttura Costi AZ. A'!A11</f>
        <v>ACQUA</v>
      </c>
      <c r="B14" s="364">
        <f>INPUT!B105</f>
        <v>110100</v>
      </c>
    </row>
    <row r="15" spans="1:4">
      <c r="A15" s="86" t="str">
        <f>'Struttura Costi AZ. A'!A12</f>
        <v>GAS</v>
      </c>
      <c r="B15" s="364">
        <f>INPUT!B106</f>
        <v>115978</v>
      </c>
    </row>
    <row r="16" spans="1:4">
      <c r="A16" s="86" t="str">
        <f>'Struttura Costi AZ. A'!A13</f>
        <v>ENERGIA</v>
      </c>
      <c r="B16" s="364">
        <f>INPUT!B107</f>
        <v>65300</v>
      </c>
    </row>
    <row r="17" spans="1:4">
      <c r="A17" s="86" t="str">
        <f>'Struttura Costi AZ. A'!A14</f>
        <v>ALTRE UTENZE</v>
      </c>
      <c r="B17" s="364">
        <f>INPUT!B108</f>
        <v>65300</v>
      </c>
    </row>
    <row r="18" spans="1:4">
      <c r="A18" s="86" t="str">
        <f>'Struttura Costi AZ. A'!A15</f>
        <v>CONSULENZE FISCALI E LEGALI</v>
      </c>
      <c r="B18" s="364">
        <f>INPUT!B109</f>
        <v>75500</v>
      </c>
    </row>
    <row r="19" spans="1:4">
      <c r="A19" s="86" t="str">
        <f>'Struttura Costi AZ. A'!A16</f>
        <v>CONSULENZE TECNICHE</v>
      </c>
      <c r="B19" s="364">
        <f>INPUT!B110</f>
        <v>132900</v>
      </c>
    </row>
    <row r="20" spans="1:4">
      <c r="A20" s="86" t="str">
        <f>'Struttura Costi AZ. A'!A17</f>
        <v>COMPENSI AMMINISTRATORI</v>
      </c>
      <c r="B20" s="364">
        <f>INPUT!B111</f>
        <v>342000</v>
      </c>
    </row>
    <row r="21" spans="1:4">
      <c r="A21" s="86" t="str">
        <f>'Struttura Costi AZ. A'!A18</f>
        <v>PROMOZIONE/PUBBL.</v>
      </c>
      <c r="B21" s="364">
        <f>INPUT!B112</f>
        <v>170000</v>
      </c>
    </row>
    <row r="22" spans="1:4">
      <c r="A22" s="86" t="str">
        <f>'Struttura Costi AZ. A'!A19</f>
        <v>VIAGGI</v>
      </c>
      <c r="B22" s="364">
        <f>INPUT!B113</f>
        <v>73450</v>
      </c>
    </row>
    <row r="23" spans="1:4">
      <c r="A23" s="86" t="str">
        <f>'Struttura Costi AZ. A'!A20</f>
        <v>FIERE</v>
      </c>
      <c r="B23" s="364">
        <f>INPUT!B114</f>
        <v>131180</v>
      </c>
    </row>
    <row r="24" spans="1:4">
      <c r="A24" s="86" t="str">
        <f>'Struttura Costi AZ. A'!A21</f>
        <v>PROVVIGIONI E RIMBORSO SPESE</v>
      </c>
      <c r="B24" s="364">
        <f>INPUT!B115</f>
        <v>107340</v>
      </c>
    </row>
    <row r="25" spans="1:4">
      <c r="A25" s="86" t="str">
        <f>'Struttura Costi AZ. A'!A22</f>
        <v>MANUTENZIONE</v>
      </c>
      <c r="B25" s="364">
        <f>INPUT!B116</f>
        <v>133000</v>
      </c>
    </row>
    <row r="26" spans="1:4">
      <c r="A26" s="86" t="str">
        <f>'Struttura Costi AZ. A'!A23</f>
        <v>TRASPORTO</v>
      </c>
      <c r="B26" s="364">
        <f>INPUT!B117</f>
        <v>145000</v>
      </c>
    </row>
    <row r="27" spans="1:4">
      <c r="A27" s="86" t="str">
        <f>'Struttura Costi AZ. A'!A24</f>
        <v>ASSICURAZIONI</v>
      </c>
      <c r="B27" s="364">
        <f>INPUT!B118</f>
        <v>137000</v>
      </c>
    </row>
    <row r="28" spans="1:4">
      <c r="A28" s="86" t="str">
        <f>'Struttura Costi AZ. A'!A25</f>
        <v>MATERIALE DI CONSUMO</v>
      </c>
      <c r="B28" s="364">
        <f>INPUT!B119</f>
        <v>122300</v>
      </c>
      <c r="D28" s="353"/>
    </row>
    <row r="29" spans="1:4">
      <c r="A29" s="86" t="str">
        <f>'Struttura Costi AZ. A'!A26</f>
        <v>AMMORTAMENTO</v>
      </c>
      <c r="B29" s="363">
        <f>'Struttura Costi AZ. A'!B26</f>
        <v>535101</v>
      </c>
    </row>
    <row r="30" spans="1:4">
      <c r="A30" s="86" t="str">
        <f>'Struttura Costi AZ. A'!A27</f>
        <v>LOCAZIONE IMMOBILE</v>
      </c>
      <c r="B30" s="363">
        <f>'Struttura Costi AZ. A'!B27</f>
        <v>20781</v>
      </c>
    </row>
    <row r="31" spans="1:4">
      <c r="A31" s="86" t="str">
        <f>'Struttura Costi AZ. A'!A28</f>
        <v>SPESE GENERALI</v>
      </c>
      <c r="B31" s="363">
        <f>'Struttura Costi AZ. A'!B28</f>
        <v>418992</v>
      </c>
    </row>
    <row r="32" spans="1:4" ht="13.15">
      <c r="A32" s="350" t="s">
        <v>307</v>
      </c>
      <c r="B32" s="365">
        <f>B12+B13+B14+B15+B16+B17+B18+B19+B20+B21+B22+B23+B24+B25+B26+B27+B28+B29+B30+B31</f>
        <v>4531069</v>
      </c>
      <c r="C32" s="353"/>
    </row>
    <row r="33" spans="1:4" ht="13.15">
      <c r="A33" s="354"/>
      <c r="B33" s="361"/>
    </row>
    <row r="34" spans="1:4" s="17" customFormat="1" ht="13.15">
      <c r="A34" s="350" t="s">
        <v>303</v>
      </c>
      <c r="B34" s="365">
        <f>B10-B32</f>
        <v>-3110268.2685460001</v>
      </c>
      <c r="C34" s="20"/>
      <c r="D34" s="20"/>
    </row>
    <row r="35" spans="1:4">
      <c r="B35" s="360"/>
    </row>
    <row r="36" spans="1:4">
      <c r="A36" s="86" t="s">
        <v>58</v>
      </c>
      <c r="B36" s="366">
        <v>148000</v>
      </c>
    </row>
    <row r="37" spans="1:4">
      <c r="A37" s="86" t="s">
        <v>59</v>
      </c>
      <c r="B37" s="366">
        <v>431640</v>
      </c>
    </row>
    <row r="38" spans="1:4" ht="13.15">
      <c r="A38" s="350" t="s">
        <v>60</v>
      </c>
      <c r="B38" s="362">
        <f>B36-B37</f>
        <v>-283640</v>
      </c>
    </row>
    <row r="39" spans="1:4">
      <c r="A39" s="86" t="s">
        <v>287</v>
      </c>
      <c r="B39" s="366">
        <v>577195</v>
      </c>
    </row>
    <row r="40" spans="1:4">
      <c r="A40" s="86" t="s">
        <v>288</v>
      </c>
      <c r="B40" s="366">
        <v>116400</v>
      </c>
    </row>
    <row r="41" spans="1:4" ht="13.15">
      <c r="A41" s="350" t="s">
        <v>286</v>
      </c>
      <c r="B41" s="362">
        <f>B39-B40</f>
        <v>460795</v>
      </c>
    </row>
    <row r="42" spans="1:4">
      <c r="A42" s="355"/>
      <c r="B42" s="360"/>
    </row>
    <row r="43" spans="1:4" s="17" customFormat="1" ht="13.15">
      <c r="A43" s="348" t="s">
        <v>61</v>
      </c>
      <c r="B43" s="362">
        <f>B34+B38+B41</f>
        <v>-2933113.2685460001</v>
      </c>
    </row>
    <row r="44" spans="1:4">
      <c r="B44" s="360"/>
    </row>
    <row r="45" spans="1:4">
      <c r="A45" s="356" t="s">
        <v>282</v>
      </c>
      <c r="B45" s="363">
        <f>IF(B43&lt;0,0,B43*37%)</f>
        <v>0</v>
      </c>
    </row>
    <row r="46" spans="1:4">
      <c r="A46" s="356" t="s">
        <v>4</v>
      </c>
      <c r="B46" s="363">
        <f>IF(B43&lt;0,0,B43*4.25%)</f>
        <v>0</v>
      </c>
    </row>
    <row r="47" spans="1:4">
      <c r="B47" s="360"/>
    </row>
    <row r="48" spans="1:4" s="17" customFormat="1" ht="13.15">
      <c r="A48" s="348" t="s">
        <v>6</v>
      </c>
      <c r="B48" s="362">
        <f>B43-(B45+B46)</f>
        <v>-2933113.2685460001</v>
      </c>
      <c r="C48" s="21"/>
    </row>
    <row r="49" spans="1:3">
      <c r="A49" s="357"/>
    </row>
    <row r="51" spans="1:3" ht="30.7" customHeight="1">
      <c r="A51" s="754" t="s">
        <v>309</v>
      </c>
      <c r="B51" s="755"/>
    </row>
    <row r="52" spans="1:3" ht="13.15">
      <c r="A52" s="347" t="s">
        <v>1</v>
      </c>
      <c r="B52" s="359">
        <v>44926</v>
      </c>
    </row>
    <row r="53" spans="1:3" ht="13.15">
      <c r="A53" s="348" t="s">
        <v>304</v>
      </c>
      <c r="B53" s="362">
        <f>'Scheda Ricavi'!B25</f>
        <v>3396808.2</v>
      </c>
      <c r="C53" s="729"/>
    </row>
    <row r="54" spans="1:3">
      <c r="A54" s="349" t="s">
        <v>73</v>
      </c>
      <c r="B54" s="363">
        <f>'Scheda Ricavi'!B19</f>
        <v>2318583.2000000002</v>
      </c>
    </row>
    <row r="55" spans="1:3">
      <c r="A55" s="349" t="s">
        <v>69</v>
      </c>
      <c r="B55" s="363">
        <f>'Scheda Ricavi'!B23</f>
        <v>1078225</v>
      </c>
    </row>
    <row r="56" spans="1:3" ht="13.15">
      <c r="A56" s="349"/>
      <c r="B56" s="362"/>
    </row>
    <row r="57" spans="1:3" ht="13.15">
      <c r="A57" s="349"/>
      <c r="B57" s="362"/>
    </row>
    <row r="58" spans="1:3" ht="13.15">
      <c r="A58" s="350" t="s">
        <v>305</v>
      </c>
      <c r="B58" s="362">
        <f>'Struttura Costi AZ. B'!B6</f>
        <v>4862086.0729639996</v>
      </c>
    </row>
    <row r="59" spans="1:3" ht="13.15">
      <c r="A59" s="349"/>
      <c r="B59" s="362"/>
    </row>
    <row r="60" spans="1:3" ht="13.15">
      <c r="A60" s="348" t="s">
        <v>306</v>
      </c>
      <c r="B60" s="362">
        <f>B53+B56+B57-B58</f>
        <v>-1465277.8729639994</v>
      </c>
    </row>
    <row r="61" spans="1:3">
      <c r="A61" s="351" t="s">
        <v>5</v>
      </c>
      <c r="B61" s="360"/>
    </row>
    <row r="62" spans="1:3">
      <c r="A62" s="86" t="str">
        <f>'Struttura Costi AZ. B'!A9</f>
        <v>PERSONALE</v>
      </c>
      <c r="B62" s="363">
        <f>'Struttura Costi AZ. B'!B9</f>
        <v>594201</v>
      </c>
    </row>
    <row r="63" spans="1:3">
      <c r="A63" s="86" t="str">
        <f>'Struttura Costi AZ. B'!A10</f>
        <v>TELEFONO</v>
      </c>
      <c r="B63" s="364">
        <f>INPUT!E104</f>
        <v>25110</v>
      </c>
    </row>
    <row r="64" spans="1:3">
      <c r="A64" s="86" t="str">
        <f>'Struttura Costi AZ. B'!A11</f>
        <v>ACQUA</v>
      </c>
      <c r="B64" s="364">
        <f>INPUT!E105</f>
        <v>101500</v>
      </c>
    </row>
    <row r="65" spans="1:2">
      <c r="A65" s="86" t="str">
        <f>'Struttura Costi AZ. B'!A12</f>
        <v>GAS</v>
      </c>
      <c r="B65" s="364">
        <f>INPUT!E106</f>
        <v>60950</v>
      </c>
    </row>
    <row r="66" spans="1:2">
      <c r="A66" s="86" t="str">
        <f>'Struttura Costi AZ. B'!A13</f>
        <v>ENERGIA</v>
      </c>
      <c r="B66" s="364">
        <f>INPUT!E107</f>
        <v>31300</v>
      </c>
    </row>
    <row r="67" spans="1:2">
      <c r="A67" s="86" t="str">
        <f>'Struttura Costi AZ. B'!A14</f>
        <v>ALTRE UTENZE</v>
      </c>
      <c r="B67" s="364">
        <f>INPUT!E108</f>
        <v>36550</v>
      </c>
    </row>
    <row r="68" spans="1:2">
      <c r="A68" s="86" t="str">
        <f>'Struttura Costi AZ. B'!A15</f>
        <v>CONSULENZE FISCALI E LEGALI</v>
      </c>
      <c r="B68" s="364">
        <f>INPUT!E109</f>
        <v>8500</v>
      </c>
    </row>
    <row r="69" spans="1:2">
      <c r="A69" s="86" t="str">
        <f>'Struttura Costi AZ. B'!A16</f>
        <v>CONSULENZE TECNICHE</v>
      </c>
      <c r="B69" s="364">
        <f>INPUT!E110</f>
        <v>72600</v>
      </c>
    </row>
    <row r="70" spans="1:2">
      <c r="A70" s="86" t="str">
        <f>'Struttura Costi AZ. B'!A17</f>
        <v>COMPENSI AMMINISTRATORI</v>
      </c>
      <c r="B70" s="364">
        <f>INPUT!E111</f>
        <v>120000</v>
      </c>
    </row>
    <row r="71" spans="1:2">
      <c r="A71" s="86" t="str">
        <f>'Struttura Costi AZ. B'!A18</f>
        <v>PROMOZIONE/PUBBL.</v>
      </c>
      <c r="B71" s="364">
        <f>INPUT!E112</f>
        <v>37500</v>
      </c>
    </row>
    <row r="72" spans="1:2">
      <c r="A72" s="86" t="str">
        <f>'Struttura Costi AZ. B'!A19</f>
        <v>VIAGGI</v>
      </c>
      <c r="B72" s="364">
        <f>INPUT!E113</f>
        <v>27488</v>
      </c>
    </row>
    <row r="73" spans="1:2">
      <c r="A73" s="86" t="str">
        <f>'Struttura Costi AZ. B'!A20</f>
        <v>FIERE</v>
      </c>
      <c r="B73" s="364">
        <f>INPUT!E114</f>
        <v>35456</v>
      </c>
    </row>
    <row r="74" spans="1:2">
      <c r="A74" s="86" t="str">
        <f>'Struttura Costi AZ. B'!A21</f>
        <v>PROVVIGIONI E RIMBORSO SPESE</v>
      </c>
      <c r="B74" s="364">
        <f>INPUT!E115</f>
        <v>35500</v>
      </c>
    </row>
    <row r="75" spans="1:2">
      <c r="A75" s="86" t="str">
        <f>'Struttura Costi AZ. B'!A22</f>
        <v>MANUTENZIONE</v>
      </c>
      <c r="B75" s="364">
        <f>INPUT!E116</f>
        <v>73500</v>
      </c>
    </row>
    <row r="76" spans="1:2">
      <c r="A76" s="86" t="str">
        <f>'Struttura Costi AZ. B'!A23</f>
        <v>TRASPORTO</v>
      </c>
      <c r="B76" s="364">
        <f>INPUT!E117</f>
        <v>72100</v>
      </c>
    </row>
    <row r="77" spans="1:2">
      <c r="A77" s="86" t="str">
        <f>'Struttura Costi AZ. B'!A24</f>
        <v>ASSICURAZIONI</v>
      </c>
      <c r="B77" s="364">
        <f>INPUT!E118</f>
        <v>110000</v>
      </c>
    </row>
    <row r="78" spans="1:2">
      <c r="A78" s="86" t="str">
        <f>'Struttura Costi AZ. B'!A25</f>
        <v>MATERIALE DI CONSUMO</v>
      </c>
      <c r="B78" s="364">
        <f>INPUT!E119</f>
        <v>122300</v>
      </c>
    </row>
    <row r="79" spans="1:2">
      <c r="A79" s="86" t="str">
        <f>'Struttura Costi AZ. B'!A26</f>
        <v>AMMORTAMENTO</v>
      </c>
      <c r="B79" s="363">
        <f>'Struttura Costi AZ. B'!B26</f>
        <v>556759.02</v>
      </c>
    </row>
    <row r="80" spans="1:2">
      <c r="A80" s="86" t="str">
        <f>'Struttura Costi AZ. B'!A27</f>
        <v>LOCAZIONE IMMOBILE</v>
      </c>
      <c r="B80" s="363">
        <f>'Struttura Costi AZ. B'!B27</f>
        <v>123976.02</v>
      </c>
    </row>
    <row r="81" spans="1:2">
      <c r="A81" s="86" t="str">
        <f>'Struttura Costi AZ. B'!A28</f>
        <v>SPESE GENERALI</v>
      </c>
      <c r="B81" s="363">
        <f>'Struttura Costi AZ. B'!B28</f>
        <v>17953</v>
      </c>
    </row>
    <row r="82" spans="1:2" ht="13.15">
      <c r="A82" s="350" t="s">
        <v>307</v>
      </c>
      <c r="B82" s="365">
        <f>B62+B63+B64+B65+B66+B67+B68+B69++B70+B71+B72+B73+B74+B75+B76+B77+B78+B79+B80+B81</f>
        <v>2263243.04</v>
      </c>
    </row>
    <row r="83" spans="1:2" ht="13.15">
      <c r="A83" s="354"/>
      <c r="B83" s="361"/>
    </row>
    <row r="84" spans="1:2" ht="13.15">
      <c r="A84" s="350" t="s">
        <v>303</v>
      </c>
      <c r="B84" s="365">
        <f>B60-B82</f>
        <v>-3728520.9129639994</v>
      </c>
    </row>
    <row r="85" spans="1:2">
      <c r="B85" s="360"/>
    </row>
    <row r="86" spans="1:2">
      <c r="A86" s="22" t="s">
        <v>58</v>
      </c>
      <c r="B86" s="366">
        <v>148000</v>
      </c>
    </row>
    <row r="87" spans="1:2">
      <c r="A87" s="22" t="s">
        <v>59</v>
      </c>
      <c r="B87" s="366">
        <v>578710</v>
      </c>
    </row>
    <row r="88" spans="1:2" ht="13.15">
      <c r="A88" s="350" t="s">
        <v>60</v>
      </c>
      <c r="B88" s="362">
        <f>B86-B87</f>
        <v>-430710</v>
      </c>
    </row>
    <row r="89" spans="1:2">
      <c r="A89" s="22" t="s">
        <v>287</v>
      </c>
      <c r="B89" s="366">
        <v>107000</v>
      </c>
    </row>
    <row r="90" spans="1:2">
      <c r="A90" s="22" t="s">
        <v>288</v>
      </c>
      <c r="B90" s="366">
        <v>300208</v>
      </c>
    </row>
    <row r="91" spans="1:2" ht="13.15">
      <c r="A91" s="350" t="s">
        <v>286</v>
      </c>
      <c r="B91" s="362">
        <f>B89-B90</f>
        <v>-193208</v>
      </c>
    </row>
    <row r="92" spans="1:2">
      <c r="A92" s="355"/>
      <c r="B92" s="360"/>
    </row>
    <row r="93" spans="1:2" ht="13.15">
      <c r="A93" s="348" t="s">
        <v>61</v>
      </c>
      <c r="B93" s="362">
        <f>B84+B88+B91</f>
        <v>-4352438.9129639994</v>
      </c>
    </row>
    <row r="94" spans="1:2">
      <c r="B94" s="360"/>
    </row>
    <row r="95" spans="1:2">
      <c r="A95" s="356" t="s">
        <v>282</v>
      </c>
      <c r="B95" s="363">
        <f>IF(B93&lt;0,0,B93*37%)</f>
        <v>0</v>
      </c>
    </row>
    <row r="96" spans="1:2">
      <c r="A96" s="356" t="s">
        <v>4</v>
      </c>
      <c r="B96" s="363">
        <f>IF(B93&lt;0,0,B93*4.25%)</f>
        <v>0</v>
      </c>
    </row>
    <row r="97" spans="1:2">
      <c r="B97" s="360"/>
    </row>
    <row r="98" spans="1:2" ht="13.15">
      <c r="A98" s="348" t="s">
        <v>6</v>
      </c>
      <c r="B98" s="362">
        <f>B93-(B95+B96)</f>
        <v>-4352438.9129639994</v>
      </c>
    </row>
    <row r="99" spans="1:2">
      <c r="A99" s="357"/>
    </row>
  </sheetData>
  <mergeCells count="2">
    <mergeCell ref="A51:B51"/>
    <mergeCell ref="A1:B1"/>
  </mergeCells>
  <phoneticPr fontId="0" type="noConversion"/>
  <printOptions horizontalCentered="1" verticalCentered="1"/>
  <pageMargins left="0.55000000000000004" right="0" top="0.19685039370078741" bottom="0.19685039370078741" header="0.19685039370078741" footer="0.19685039370078741"/>
  <pageSetup paperSize="9" scale="8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pageSetUpPr fitToPage="1"/>
  </sheetPr>
  <dimension ref="A1:J13"/>
  <sheetViews>
    <sheetView zoomScale="99" zoomScaleNormal="99" zoomScaleSheetLayoutView="100" workbookViewId="0"/>
  </sheetViews>
  <sheetFormatPr defaultColWidth="9.109375" defaultRowHeight="12.55"/>
  <cols>
    <col min="1" max="1" width="94" style="58" bestFit="1" customWidth="1"/>
    <col min="2" max="2" width="27.109375" style="371" customWidth="1"/>
    <col min="3" max="3" width="11" style="371" customWidth="1"/>
    <col min="4" max="4" width="21.88671875" style="371" customWidth="1"/>
    <col min="5" max="5" width="10.5546875" style="371" bestFit="1" customWidth="1"/>
    <col min="6" max="6" width="16.44140625" style="371" bestFit="1" customWidth="1"/>
    <col min="7" max="7" width="14.33203125" style="371" customWidth="1"/>
    <col min="8" max="8" width="18.6640625" style="58" customWidth="1"/>
    <col min="9" max="9" width="19.44140625" style="58" customWidth="1"/>
    <col min="10" max="10" width="18.44140625" style="58" customWidth="1"/>
    <col min="11" max="16384" width="9.109375" style="58"/>
  </cols>
  <sheetData>
    <row r="1" spans="1:10" ht="13.15">
      <c r="A1" s="367" t="s">
        <v>313</v>
      </c>
      <c r="B1" s="368"/>
      <c r="C1" s="368"/>
      <c r="D1" s="368"/>
      <c r="E1" s="368"/>
      <c r="F1" s="368"/>
      <c r="G1" s="368"/>
      <c r="H1" s="369"/>
    </row>
    <row r="2" spans="1:10" ht="13.15">
      <c r="A2" s="23" t="s">
        <v>10</v>
      </c>
      <c r="B2" s="756">
        <v>44926</v>
      </c>
      <c r="C2" s="757"/>
      <c r="D2" s="758"/>
      <c r="E2" s="758"/>
      <c r="F2" s="758"/>
      <c r="G2" s="758"/>
      <c r="H2" s="370"/>
      <c r="I2" s="370"/>
      <c r="J2" s="370"/>
    </row>
    <row r="3" spans="1:10" s="28" customFormat="1" ht="52.6">
      <c r="A3" s="24"/>
      <c r="B3" s="25" t="s">
        <v>21</v>
      </c>
      <c r="C3" s="26" t="s">
        <v>3</v>
      </c>
      <c r="D3" s="27" t="s">
        <v>22</v>
      </c>
      <c r="E3" s="26" t="s">
        <v>3</v>
      </c>
      <c r="F3" s="27" t="s">
        <v>311</v>
      </c>
      <c r="G3" s="27" t="s">
        <v>312</v>
      </c>
    </row>
    <row r="4" spans="1:10" s="28" customFormat="1" ht="13.15">
      <c r="A4" s="29" t="s">
        <v>73</v>
      </c>
      <c r="B4" s="372">
        <f>'Scheda Ricavi'!B6</f>
        <v>7267278.7999999998</v>
      </c>
      <c r="C4" s="30">
        <f>B4/B$6</f>
        <v>0.45852357514485942</v>
      </c>
      <c r="D4" s="372">
        <f>'Struttura Costi AZ. A'!B4</f>
        <v>7203446.0811219998</v>
      </c>
      <c r="E4" s="30">
        <f>D4/D$6</f>
        <v>0.49925115210163828</v>
      </c>
      <c r="F4" s="372">
        <f>B4-D4</f>
        <v>63832.718878000043</v>
      </c>
      <c r="G4" s="31">
        <f>F4/B4</f>
        <v>8.7835791958332521E-3</v>
      </c>
    </row>
    <row r="5" spans="1:10" s="28" customFormat="1" ht="13.8" thickBot="1">
      <c r="A5" s="32" t="s">
        <v>69</v>
      </c>
      <c r="B5" s="373">
        <f>'Scheda Ricavi'!B10</f>
        <v>8582023.5999999996</v>
      </c>
      <c r="C5" s="33">
        <f t="shared" ref="C5:E6" si="0">B5/B$6</f>
        <v>0.54147642485514069</v>
      </c>
      <c r="D5" s="373">
        <f>'Struttura Costi AZ. A'!B5</f>
        <v>7225055.5874239998</v>
      </c>
      <c r="E5" s="33">
        <f t="shared" si="0"/>
        <v>0.50074884789836183</v>
      </c>
      <c r="F5" s="373">
        <f>B5-D5</f>
        <v>1356968.0125759998</v>
      </c>
      <c r="G5" s="31">
        <f>F5/B5</f>
        <v>0.15811748788199556</v>
      </c>
    </row>
    <row r="6" spans="1:10" s="28" customFormat="1" ht="14.4" thickTop="1" thickBot="1">
      <c r="A6" s="34" t="s">
        <v>24</v>
      </c>
      <c r="B6" s="374">
        <f>SUM(B4:B5)</f>
        <v>15849302.399999999</v>
      </c>
      <c r="C6" s="35">
        <f t="shared" si="0"/>
        <v>1</v>
      </c>
      <c r="D6" s="374">
        <f>SUM(D4:D5)</f>
        <v>14428501.668545999</v>
      </c>
      <c r="E6" s="36">
        <f t="shared" si="0"/>
        <v>1</v>
      </c>
      <c r="F6" s="374">
        <f>SUM(F4:F5)</f>
        <v>1420800.7314539999</v>
      </c>
      <c r="G6" s="37">
        <f>F6/B6</f>
        <v>8.9644370180860453E-2</v>
      </c>
    </row>
    <row r="8" spans="1:10" ht="13.15">
      <c r="A8" s="367" t="s">
        <v>314</v>
      </c>
      <c r="B8" s="368"/>
      <c r="C8" s="368"/>
      <c r="D8" s="368"/>
      <c r="E8" s="368"/>
      <c r="F8" s="368"/>
      <c r="G8" s="368"/>
    </row>
    <row r="9" spans="1:10" ht="13.15">
      <c r="A9" s="23" t="s">
        <v>10</v>
      </c>
      <c r="B9" s="759">
        <v>44926</v>
      </c>
      <c r="C9" s="760"/>
      <c r="D9" s="761"/>
      <c r="E9" s="761"/>
      <c r="F9" s="761"/>
      <c r="G9" s="762"/>
    </row>
    <row r="10" spans="1:10" ht="52.6">
      <c r="A10" s="24"/>
      <c r="B10" s="39" t="s">
        <v>21</v>
      </c>
      <c r="C10" s="26"/>
      <c r="D10" s="27" t="s">
        <v>22</v>
      </c>
      <c r="E10" s="26" t="s">
        <v>3</v>
      </c>
      <c r="F10" s="27" t="s">
        <v>310</v>
      </c>
      <c r="G10" s="27" t="s">
        <v>312</v>
      </c>
    </row>
    <row r="11" spans="1:10" ht="13.15">
      <c r="A11" s="29" t="s">
        <v>73</v>
      </c>
      <c r="B11" s="372">
        <f>'Scheda Ricavi'!B19</f>
        <v>2318583.2000000002</v>
      </c>
      <c r="C11" s="30">
        <f>B11/B$13</f>
        <v>0.68257701450438091</v>
      </c>
      <c r="D11" s="372">
        <f>'Struttura Costi AZ. B'!B4</f>
        <v>2437374.106464</v>
      </c>
      <c r="E11" s="30">
        <f>D11/D$13</f>
        <v>0.50130213037922233</v>
      </c>
      <c r="F11" s="372">
        <f>B11-D11</f>
        <v>-118790.90646399977</v>
      </c>
      <c r="G11" s="31">
        <f>F11/B11</f>
        <v>-5.1234265159861313E-2</v>
      </c>
    </row>
    <row r="12" spans="1:10" ht="13.8" thickBot="1">
      <c r="A12" s="32" t="s">
        <v>69</v>
      </c>
      <c r="B12" s="373">
        <f>'Scheda Ricavi'!B23</f>
        <v>1078225</v>
      </c>
      <c r="C12" s="33">
        <f>B12/B$13</f>
        <v>0.31742298549561909</v>
      </c>
      <c r="D12" s="373">
        <f>'Struttura Costi AZ. B'!B5</f>
        <v>2424711.9665000001</v>
      </c>
      <c r="E12" s="33">
        <f>D12/D$13</f>
        <v>0.49869786962077778</v>
      </c>
      <c r="F12" s="373">
        <f>B12-D12</f>
        <v>-1346486.9665000001</v>
      </c>
      <c r="G12" s="31">
        <f>F12/B12</f>
        <v>-1.2487996164993393</v>
      </c>
    </row>
    <row r="13" spans="1:10" ht="14.4" thickTop="1" thickBot="1">
      <c r="A13" s="34" t="s">
        <v>24</v>
      </c>
      <c r="B13" s="374">
        <f>SUM(B11:B12)</f>
        <v>3396808.2</v>
      </c>
      <c r="C13" s="35">
        <f>B13/B$13</f>
        <v>1</v>
      </c>
      <c r="D13" s="374">
        <f>SUM(D11:D12)</f>
        <v>4862086.0729639996</v>
      </c>
      <c r="E13" s="36">
        <f>D13/D$13</f>
        <v>1</v>
      </c>
      <c r="F13" s="374">
        <f>SUM(F11:F12)</f>
        <v>-1465277.8729639999</v>
      </c>
      <c r="G13" s="37">
        <f>F13/B13</f>
        <v>-0.43136903430814838</v>
      </c>
    </row>
  </sheetData>
  <mergeCells count="2">
    <mergeCell ref="B2:G2"/>
    <mergeCell ref="B9:G9"/>
  </mergeCells>
  <phoneticPr fontId="0" type="noConversion"/>
  <printOptions horizontalCentered="1" verticalCentered="1"/>
  <pageMargins left="0.27" right="0.19685039370078741" top="0.19685039370078741" bottom="0.19685039370078741" header="0.19685039370078741" footer="0.19685039370078741"/>
  <pageSetup paperSize="9" scale="7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2">
    <pageSetUpPr fitToPage="1"/>
  </sheetPr>
  <dimension ref="A1:B60"/>
  <sheetViews>
    <sheetView zoomScaleNormal="100" zoomScaleSheetLayoutView="100" workbookViewId="0">
      <selection activeCell="A16" sqref="A16"/>
    </sheetView>
  </sheetViews>
  <sheetFormatPr defaultColWidth="9.109375" defaultRowHeight="12.55"/>
  <cols>
    <col min="1" max="1" width="114" style="58" customWidth="1"/>
    <col min="2" max="2" width="34.5546875" style="70" customWidth="1"/>
    <col min="3" max="16384" width="9.109375" style="58"/>
  </cols>
  <sheetData>
    <row r="1" spans="1:2" ht="13.15">
      <c r="A1" s="367" t="s">
        <v>194</v>
      </c>
      <c r="B1" s="368"/>
    </row>
    <row r="2" spans="1:2" ht="22.55" customHeight="1">
      <c r="A2" s="40" t="s">
        <v>1</v>
      </c>
      <c r="B2" s="41">
        <v>44926</v>
      </c>
    </row>
    <row r="3" spans="1:2" ht="13.15">
      <c r="A3" s="42" t="s">
        <v>73</v>
      </c>
      <c r="B3" s="43"/>
    </row>
    <row r="4" spans="1:2" ht="13.15">
      <c r="A4" s="44" t="s">
        <v>71</v>
      </c>
      <c r="B4" s="45"/>
    </row>
    <row r="5" spans="1:2" ht="13.15">
      <c r="A5" s="46" t="s">
        <v>140</v>
      </c>
      <c r="B5" s="47">
        <f>INPUT!B5</f>
        <v>9199898</v>
      </c>
    </row>
    <row r="6" spans="1:2" ht="13.15">
      <c r="A6" s="48" t="s">
        <v>26</v>
      </c>
      <c r="B6" s="375">
        <f>INPUT!B6</f>
        <v>0.6</v>
      </c>
    </row>
    <row r="7" spans="1:2" ht="13.15">
      <c r="A7" s="48" t="s">
        <v>70</v>
      </c>
      <c r="B7" s="376">
        <f>B5*B6</f>
        <v>5519938.7999999998</v>
      </c>
    </row>
    <row r="8" spans="1:2" ht="13.15">
      <c r="A8" s="49" t="s">
        <v>25</v>
      </c>
      <c r="B8" s="377">
        <f>'Costi diretti'!F19/('Struttura Ricavi'!B5+'Struttura Ricavi'!B14)</f>
        <v>0.38255364320730784</v>
      </c>
    </row>
    <row r="9" spans="1:2" ht="13.15">
      <c r="A9" s="50" t="s">
        <v>72</v>
      </c>
      <c r="B9" s="51"/>
    </row>
    <row r="10" spans="1:2" ht="13.15">
      <c r="A10" s="52" t="s">
        <v>140</v>
      </c>
      <c r="B10" s="47">
        <f>INPUT!B9</f>
        <v>2496200</v>
      </c>
    </row>
    <row r="11" spans="1:2" ht="13.15">
      <c r="A11" s="48" t="s">
        <v>26</v>
      </c>
      <c r="B11" s="375">
        <f>INPUT!B10</f>
        <v>0.7</v>
      </c>
    </row>
    <row r="12" spans="1:2" ht="13.15">
      <c r="A12" s="48" t="s">
        <v>70</v>
      </c>
      <c r="B12" s="376">
        <f>B10*B11</f>
        <v>1747340</v>
      </c>
    </row>
    <row r="13" spans="1:2" ht="13.8" thickBot="1">
      <c r="A13" s="49" t="s">
        <v>25</v>
      </c>
      <c r="B13" s="377">
        <f>'Costi diretti'!F19/('Struttura Ricavi'!B10+'Struttura Ricavi'!B15)</f>
        <v>1.1244491400708687</v>
      </c>
    </row>
    <row r="14" spans="1:2" ht="13.8" thickTop="1">
      <c r="A14" s="54" t="s">
        <v>211</v>
      </c>
      <c r="B14" s="55">
        <f>INPUT!B11</f>
        <v>9630000</v>
      </c>
    </row>
    <row r="15" spans="1:2" ht="13.8" thickBot="1">
      <c r="A15" s="56" t="s">
        <v>212</v>
      </c>
      <c r="B15" s="57">
        <f>INPUT!B12</f>
        <v>3910000</v>
      </c>
    </row>
    <row r="16" spans="1:2" ht="13.15" thickTop="1">
      <c r="B16" s="59"/>
    </row>
    <row r="17" spans="1:2" ht="13.15">
      <c r="A17" s="60" t="s">
        <v>69</v>
      </c>
      <c r="B17" s="61"/>
    </row>
    <row r="18" spans="1:2" ht="13.15">
      <c r="A18" s="62" t="s">
        <v>71</v>
      </c>
      <c r="B18" s="63"/>
    </row>
    <row r="19" spans="1:2" ht="13.15">
      <c r="A19" s="52" t="s">
        <v>140</v>
      </c>
      <c r="B19" s="47">
        <f>INPUT!B15</f>
        <v>8883000</v>
      </c>
    </row>
    <row r="20" spans="1:2" ht="13.15">
      <c r="A20" s="48" t="s">
        <v>26</v>
      </c>
      <c r="B20" s="375">
        <f>INPUT!B16</f>
        <v>0.75</v>
      </c>
    </row>
    <row r="21" spans="1:2" ht="13.15">
      <c r="A21" s="48" t="s">
        <v>70</v>
      </c>
      <c r="B21" s="376">
        <f>B19*B20</f>
        <v>6662250</v>
      </c>
    </row>
    <row r="22" spans="1:2" ht="13.15">
      <c r="A22" s="64" t="s">
        <v>25</v>
      </c>
      <c r="B22" s="377">
        <f>'Costi diretti'!B19/('Struttura Ricavi'!B19+'Struttura Ricavi'!B28)</f>
        <v>0.4683990656352674</v>
      </c>
    </row>
    <row r="23" spans="1:2" ht="13.15">
      <c r="A23" s="62" t="s">
        <v>72</v>
      </c>
      <c r="B23" s="65"/>
    </row>
    <row r="24" spans="1:2" ht="13.15">
      <c r="A24" s="52" t="s">
        <v>140</v>
      </c>
      <c r="B24" s="47">
        <f>INPUT!B18</f>
        <v>2399717</v>
      </c>
    </row>
    <row r="25" spans="1:2" ht="13.15">
      <c r="A25" s="48" t="s">
        <v>26</v>
      </c>
      <c r="B25" s="375">
        <f>INPUT!B19</f>
        <v>0.8</v>
      </c>
    </row>
    <row r="26" spans="1:2" ht="13.15">
      <c r="A26" s="48" t="s">
        <v>70</v>
      </c>
      <c r="B26" s="376">
        <f>B24*B25</f>
        <v>1919773.6</v>
      </c>
    </row>
    <row r="27" spans="1:2" ht="13.8" thickBot="1">
      <c r="A27" s="64" t="s">
        <v>25</v>
      </c>
      <c r="B27" s="377">
        <f>'Costi diretti'!B19/(B24+B29)</f>
        <v>1.1487091688583126</v>
      </c>
    </row>
    <row r="28" spans="1:2" ht="13.8" thickTop="1">
      <c r="A28" s="66" t="s">
        <v>211</v>
      </c>
      <c r="B28" s="67">
        <f>INPUT!B20</f>
        <v>6542000</v>
      </c>
    </row>
    <row r="29" spans="1:2" ht="13.8" thickBot="1">
      <c r="A29" s="68" t="s">
        <v>212</v>
      </c>
      <c r="B29" s="69">
        <f>INPUT!B21</f>
        <v>3890000</v>
      </c>
    </row>
    <row r="30" spans="1:2" ht="13.15" thickTop="1"/>
    <row r="31" spans="1:2" ht="13.15">
      <c r="A31" s="367" t="s">
        <v>195</v>
      </c>
      <c r="B31" s="368"/>
    </row>
    <row r="32" spans="1:2" ht="13.15">
      <c r="A32" s="40" t="s">
        <v>1</v>
      </c>
      <c r="B32" s="71">
        <v>44926</v>
      </c>
    </row>
    <row r="33" spans="1:2" ht="13.15">
      <c r="A33" s="42" t="s">
        <v>73</v>
      </c>
      <c r="B33" s="72"/>
    </row>
    <row r="34" spans="1:2" ht="13.15">
      <c r="A34" s="44" t="s">
        <v>71</v>
      </c>
      <c r="B34" s="45"/>
    </row>
    <row r="35" spans="1:2" ht="13.15">
      <c r="A35" s="73" t="s">
        <v>140</v>
      </c>
      <c r="B35" s="53">
        <f>INPUT!E5</f>
        <v>1720000</v>
      </c>
    </row>
    <row r="36" spans="1:2" ht="13.15">
      <c r="A36" s="74" t="s">
        <v>26</v>
      </c>
      <c r="B36" s="375">
        <f>INPUT!E6</f>
        <v>0.6</v>
      </c>
    </row>
    <row r="37" spans="1:2" ht="13.15">
      <c r="A37" s="74" t="s">
        <v>70</v>
      </c>
      <c r="B37" s="376">
        <f>B35*B36</f>
        <v>1032000</v>
      </c>
    </row>
    <row r="38" spans="1:2" ht="13.15">
      <c r="A38" s="64" t="s">
        <v>25</v>
      </c>
      <c r="B38" s="377">
        <f>'Costi diretti'!F70/('Struttura Ricavi'!B35+'Struttura Ricavi'!B44)</f>
        <v>0.64823779427234041</v>
      </c>
    </row>
    <row r="39" spans="1:2" ht="13.15">
      <c r="A39" s="763" t="s">
        <v>72</v>
      </c>
      <c r="B39" s="764"/>
    </row>
    <row r="40" spans="1:2" ht="13.15">
      <c r="A40" s="46" t="s">
        <v>140</v>
      </c>
      <c r="B40" s="53">
        <f>INPUT!E9</f>
        <v>1837976</v>
      </c>
    </row>
    <row r="41" spans="1:2" ht="13.15">
      <c r="A41" s="48" t="s">
        <v>26</v>
      </c>
      <c r="B41" s="375">
        <f>INPUT!E10</f>
        <v>0.7</v>
      </c>
    </row>
    <row r="42" spans="1:2" ht="13.15">
      <c r="A42" s="48" t="s">
        <v>70</v>
      </c>
      <c r="B42" s="376">
        <f>B40*B41</f>
        <v>1286583.2</v>
      </c>
    </row>
    <row r="43" spans="1:2" ht="13.8" thickBot="1">
      <c r="A43" s="75" t="s">
        <v>25</v>
      </c>
      <c r="B43" s="377">
        <f>'Costi diretti'!F70/('Struttura Ricavi'!B40+'Struttura Ricavi'!B45)</f>
        <v>0.63739262653949713</v>
      </c>
    </row>
    <row r="44" spans="1:2" ht="13.8" thickTop="1">
      <c r="A44" s="54" t="s">
        <v>211</v>
      </c>
      <c r="B44" s="76">
        <f>INPUT!E11</f>
        <v>2040000</v>
      </c>
    </row>
    <row r="45" spans="1:2" ht="13.8" thickBot="1">
      <c r="A45" s="56" t="s">
        <v>212</v>
      </c>
      <c r="B45" s="77">
        <f>INPUT!E12</f>
        <v>1986000</v>
      </c>
    </row>
    <row r="46" spans="1:2" ht="13.15" thickTop="1"/>
    <row r="47" spans="1:2" ht="13.15">
      <c r="A47" s="765" t="s">
        <v>69</v>
      </c>
      <c r="B47" s="766"/>
    </row>
    <row r="48" spans="1:2" ht="13.15">
      <c r="A48" s="62" t="s">
        <v>71</v>
      </c>
      <c r="B48" s="63"/>
    </row>
    <row r="49" spans="1:2" ht="13.15">
      <c r="A49" s="73" t="s">
        <v>140</v>
      </c>
      <c r="B49" s="53">
        <f>INPUT!E15</f>
        <v>635500</v>
      </c>
    </row>
    <row r="50" spans="1:2" ht="13.15">
      <c r="A50" s="74" t="s">
        <v>26</v>
      </c>
      <c r="B50" s="375">
        <f>INPUT!E16</f>
        <v>0.75</v>
      </c>
    </row>
    <row r="51" spans="1:2" ht="13.15">
      <c r="A51" s="74" t="s">
        <v>70</v>
      </c>
      <c r="B51" s="376">
        <f>B49*B50</f>
        <v>476625</v>
      </c>
    </row>
    <row r="52" spans="1:2" ht="13.15">
      <c r="A52" s="64" t="s">
        <v>25</v>
      </c>
      <c r="B52" s="377">
        <f>'Costi diretti'!B70/('Struttura Ricavi'!B49+'Struttura Ricavi'!B58)</f>
        <v>0.93890105188770578</v>
      </c>
    </row>
    <row r="53" spans="1:2" ht="13.15">
      <c r="A53" s="767" t="s">
        <v>72</v>
      </c>
      <c r="B53" s="768"/>
    </row>
    <row r="54" spans="1:2" ht="13.15">
      <c r="A54" s="73" t="s">
        <v>140</v>
      </c>
      <c r="B54" s="53">
        <f>INPUT!E18</f>
        <v>752000</v>
      </c>
    </row>
    <row r="55" spans="1:2" ht="13.15">
      <c r="A55" s="74" t="s">
        <v>26</v>
      </c>
      <c r="B55" s="375">
        <f>INPUT!E19</f>
        <v>0.8</v>
      </c>
    </row>
    <row r="56" spans="1:2" ht="13.15">
      <c r="A56" s="74" t="s">
        <v>70</v>
      </c>
      <c r="B56" s="376">
        <f>B54*B55</f>
        <v>601600</v>
      </c>
    </row>
    <row r="57" spans="1:2" ht="13.8" thickBot="1">
      <c r="A57" s="64" t="s">
        <v>25</v>
      </c>
      <c r="B57" s="377">
        <f>'Costi diretti'!B70/('Struttura Ricavi'!B54+'Struttura Ricavi'!B59)</f>
        <v>0.9057571783713112</v>
      </c>
    </row>
    <row r="58" spans="1:2" ht="13.8" thickTop="1">
      <c r="A58" s="66" t="s">
        <v>211</v>
      </c>
      <c r="B58" s="67">
        <f>INPUT!E20</f>
        <v>1947000</v>
      </c>
    </row>
    <row r="59" spans="1:2" ht="13.8" thickBot="1">
      <c r="A59" s="68" t="s">
        <v>212</v>
      </c>
      <c r="B59" s="69">
        <f>INPUT!E21</f>
        <v>1925000</v>
      </c>
    </row>
    <row r="60" spans="1:2" ht="13.15" thickTop="1"/>
  </sheetData>
  <mergeCells count="3">
    <mergeCell ref="A39:B39"/>
    <mergeCell ref="A47:B47"/>
    <mergeCell ref="A53:B53"/>
  </mergeCells>
  <phoneticPr fontId="0" type="noConversion"/>
  <printOptions horizontalCentered="1" verticalCentered="1"/>
  <pageMargins left="0.19685039370078741" right="0.19685039370078741" top="0.19685039370078741" bottom="0.19685039370078741" header="0" footer="0"/>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
    <pageSetUpPr fitToPage="1"/>
  </sheetPr>
  <dimension ref="A1:C25"/>
  <sheetViews>
    <sheetView zoomScaleNormal="100" workbookViewId="0"/>
  </sheetViews>
  <sheetFormatPr defaultColWidth="9.109375" defaultRowHeight="12.55"/>
  <cols>
    <col min="1" max="1" width="26.5546875" style="397" bestFit="1" customWidth="1"/>
    <col min="2" max="2" width="39.109375" style="397" customWidth="1"/>
    <col min="3" max="3" width="10.6640625" style="58" bestFit="1" customWidth="1"/>
    <col min="4" max="16384" width="9.109375" style="58"/>
  </cols>
  <sheetData>
    <row r="1" spans="1:3" ht="13.15">
      <c r="A1" s="378" t="s">
        <v>262</v>
      </c>
      <c r="B1" s="379"/>
      <c r="C1" s="380"/>
    </row>
    <row r="2" spans="1:3" ht="13.15">
      <c r="A2" s="78" t="s">
        <v>1</v>
      </c>
      <c r="B2" s="381">
        <v>44926</v>
      </c>
      <c r="C2" s="382"/>
    </row>
    <row r="3" spans="1:3" ht="13.15">
      <c r="A3" s="383" t="s">
        <v>73</v>
      </c>
      <c r="B3" s="383"/>
      <c r="C3" s="384"/>
    </row>
    <row r="4" spans="1:3" ht="15.05">
      <c r="A4" s="385" t="s">
        <v>71</v>
      </c>
      <c r="B4" s="404">
        <f>'Struttura Ricavi'!B7</f>
        <v>5519938.7999999998</v>
      </c>
      <c r="C4" s="386">
        <f>B4/B$6</f>
        <v>0.75956062123280588</v>
      </c>
    </row>
    <row r="5" spans="1:3" ht="15.05">
      <c r="A5" s="387" t="s">
        <v>72</v>
      </c>
      <c r="B5" s="404">
        <f>'Struttura Ricavi'!B12</f>
        <v>1747340</v>
      </c>
      <c r="C5" s="386">
        <f>B5/B$6</f>
        <v>0.24043937876719412</v>
      </c>
    </row>
    <row r="6" spans="1:3" s="28" customFormat="1" ht="15.05">
      <c r="A6" s="388" t="s">
        <v>2</v>
      </c>
      <c r="B6" s="405">
        <f>B4+B5</f>
        <v>7267278.7999999998</v>
      </c>
      <c r="C6" s="335">
        <f>B6/B$6</f>
        <v>1</v>
      </c>
    </row>
    <row r="7" spans="1:3" ht="13.15">
      <c r="A7" s="389" t="s">
        <v>69</v>
      </c>
      <c r="B7" s="406"/>
      <c r="C7" s="389"/>
    </row>
    <row r="8" spans="1:3" ht="15.05">
      <c r="A8" s="390" t="s">
        <v>71</v>
      </c>
      <c r="B8" s="407">
        <f>'Struttura Ricavi'!B21</f>
        <v>6662250</v>
      </c>
      <c r="C8" s="391">
        <f>B8/B10</f>
        <v>0.77630292230844022</v>
      </c>
    </row>
    <row r="9" spans="1:3" ht="15.05">
      <c r="A9" s="390" t="s">
        <v>72</v>
      </c>
      <c r="B9" s="407">
        <f>'Struttura Ricavi'!B26</f>
        <v>1919773.6</v>
      </c>
      <c r="C9" s="391">
        <f>B9/B10</f>
        <v>0.22369707769155986</v>
      </c>
    </row>
    <row r="10" spans="1:3" s="28" customFormat="1" ht="15.05">
      <c r="A10" s="392" t="s">
        <v>2</v>
      </c>
      <c r="B10" s="408">
        <f>B8+B9</f>
        <v>8582023.5999999996</v>
      </c>
      <c r="C10" s="393">
        <f>B10/B10</f>
        <v>1</v>
      </c>
    </row>
    <row r="11" spans="1:3" s="28" customFormat="1" ht="13.15">
      <c r="A11" s="394"/>
      <c r="B11" s="409"/>
      <c r="C11" s="79"/>
    </row>
    <row r="12" spans="1:3" ht="15.05">
      <c r="A12" s="395" t="s">
        <v>0</v>
      </c>
      <c r="B12" s="410">
        <f>B6+B10</f>
        <v>15849302.399999999</v>
      </c>
      <c r="C12" s="396"/>
    </row>
    <row r="13" spans="1:3">
      <c r="C13" s="382"/>
    </row>
    <row r="14" spans="1:3" ht="13.15">
      <c r="A14" s="378" t="s">
        <v>263</v>
      </c>
      <c r="B14" s="379"/>
      <c r="C14" s="379"/>
    </row>
    <row r="15" spans="1:3" ht="13.15">
      <c r="A15" s="78" t="s">
        <v>1</v>
      </c>
      <c r="B15" s="398">
        <v>44926</v>
      </c>
      <c r="C15" s="382"/>
    </row>
    <row r="16" spans="1:3" ht="13.15">
      <c r="A16" s="383" t="s">
        <v>73</v>
      </c>
      <c r="B16" s="383"/>
      <c r="C16" s="383"/>
    </row>
    <row r="17" spans="1:3" ht="15.05">
      <c r="A17" s="385" t="s">
        <v>71</v>
      </c>
      <c r="B17" s="404">
        <f>'Struttura Ricavi'!B37</f>
        <v>1032000</v>
      </c>
      <c r="C17" s="399">
        <f>B17/B$19</f>
        <v>0.44509940380832569</v>
      </c>
    </row>
    <row r="18" spans="1:3" ht="15.05">
      <c r="A18" s="387" t="s">
        <v>72</v>
      </c>
      <c r="B18" s="404">
        <f>'Struttura Ricavi'!B42</f>
        <v>1286583.2</v>
      </c>
      <c r="C18" s="399">
        <f>B18/B$19</f>
        <v>0.5549005961916742</v>
      </c>
    </row>
    <row r="19" spans="1:3" ht="15.05">
      <c r="A19" s="388" t="s">
        <v>2</v>
      </c>
      <c r="B19" s="405">
        <f>B17+B18</f>
        <v>2318583.2000000002</v>
      </c>
      <c r="C19" s="400">
        <f>B19/B$19</f>
        <v>1</v>
      </c>
    </row>
    <row r="20" spans="1:3" ht="13.15">
      <c r="A20" s="389" t="s">
        <v>69</v>
      </c>
      <c r="B20" s="406"/>
      <c r="C20" s="389"/>
    </row>
    <row r="21" spans="1:3" ht="15.05">
      <c r="A21" s="390" t="s">
        <v>71</v>
      </c>
      <c r="B21" s="407">
        <f>'Struttura Ricavi'!B51</f>
        <v>476625</v>
      </c>
      <c r="C21" s="401">
        <f>C8</f>
        <v>0.77630292230844022</v>
      </c>
    </row>
    <row r="22" spans="1:3" ht="15.05">
      <c r="A22" s="390" t="s">
        <v>72</v>
      </c>
      <c r="B22" s="407">
        <f>'Struttura Ricavi'!B56</f>
        <v>601600</v>
      </c>
      <c r="C22" s="401">
        <f>C9</f>
        <v>0.22369707769155986</v>
      </c>
    </row>
    <row r="23" spans="1:3" ht="15.05">
      <c r="A23" s="392" t="s">
        <v>2</v>
      </c>
      <c r="B23" s="408">
        <f>B21+B22</f>
        <v>1078225</v>
      </c>
      <c r="C23" s="402">
        <f>C10</f>
        <v>1</v>
      </c>
    </row>
    <row r="24" spans="1:3" ht="13.15">
      <c r="A24" s="394"/>
      <c r="B24" s="409"/>
      <c r="C24" s="382"/>
    </row>
    <row r="25" spans="1:3" ht="15.05">
      <c r="A25" s="395" t="s">
        <v>0</v>
      </c>
      <c r="B25" s="410">
        <f>B19+B23</f>
        <v>3396808.2</v>
      </c>
      <c r="C25" s="403"/>
    </row>
  </sheetData>
  <phoneticPr fontId="0" type="noConversion"/>
  <printOptions horizontalCentered="1" verticalCentered="1"/>
  <pageMargins left="0.19685039370078741" right="0.19685039370078741" top="0.19685039370078741" bottom="0.19685039370078741" header="0.19685039370078741" footer="0.19685039370078741"/>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3">
    <pageSetUpPr fitToPage="1"/>
  </sheetPr>
  <dimension ref="A1:B52"/>
  <sheetViews>
    <sheetView zoomScaleNormal="100" zoomScaleSheetLayoutView="100" workbookViewId="0">
      <selection activeCell="H23" sqref="H23"/>
    </sheetView>
  </sheetViews>
  <sheetFormatPr defaultColWidth="9.109375" defaultRowHeight="12.55"/>
  <cols>
    <col min="1" max="1" width="37.44140625" style="58" bestFit="1" customWidth="1"/>
    <col min="2" max="2" width="20" style="416" customWidth="1"/>
    <col min="3" max="16384" width="9.109375" style="58"/>
  </cols>
  <sheetData>
    <row r="1" spans="1:2" ht="13.15">
      <c r="A1" s="411" t="s">
        <v>196</v>
      </c>
      <c r="B1" s="383"/>
    </row>
    <row r="2" spans="1:2" ht="13.15">
      <c r="A2" s="83" t="s">
        <v>1</v>
      </c>
      <c r="B2" s="412">
        <v>44926</v>
      </c>
    </row>
    <row r="3" spans="1:2" ht="13.15">
      <c r="A3" s="86" t="s">
        <v>11</v>
      </c>
      <c r="B3" s="91">
        <f>INPUT!B90</f>
        <v>10</v>
      </c>
    </row>
    <row r="4" spans="1:2" ht="13.15">
      <c r="A4" s="86" t="s">
        <v>12</v>
      </c>
      <c r="B4" s="417">
        <f>INPUT!B91</f>
        <v>1332.5</v>
      </c>
    </row>
    <row r="5" spans="1:2" ht="13.15">
      <c r="A5" s="86" t="s">
        <v>13</v>
      </c>
      <c r="B5" s="418">
        <v>36.67</v>
      </c>
    </row>
    <row r="6" spans="1:2" ht="13.15">
      <c r="A6" s="86" t="s">
        <v>14</v>
      </c>
      <c r="B6" s="419">
        <f>B5*4</f>
        <v>146.68</v>
      </c>
    </row>
    <row r="7" spans="1:2" ht="13.15">
      <c r="A7" s="86" t="s">
        <v>15</v>
      </c>
      <c r="B7" s="419">
        <f>B6*B3</f>
        <v>1466.8000000000002</v>
      </c>
    </row>
    <row r="8" spans="1:2" ht="13.15">
      <c r="A8" s="86" t="s">
        <v>16</v>
      </c>
      <c r="B8" s="419">
        <f>B7*11</f>
        <v>16134.800000000003</v>
      </c>
    </row>
    <row r="9" spans="1:2" ht="13.15">
      <c r="A9" s="86" t="s">
        <v>17</v>
      </c>
      <c r="B9" s="420">
        <v>0.74</v>
      </c>
    </row>
    <row r="10" spans="1:2" ht="13.15">
      <c r="A10" s="413" t="s">
        <v>18</v>
      </c>
      <c r="B10" s="92">
        <f>IF(B9=0,0,B9^(-1))</f>
        <v>1.3513513513513513</v>
      </c>
    </row>
    <row r="11" spans="1:2" ht="13.15">
      <c r="A11" s="86" t="s">
        <v>19</v>
      </c>
      <c r="B11" s="417">
        <f>B4/B6</f>
        <v>9.084401418052904</v>
      </c>
    </row>
    <row r="12" spans="1:2" ht="13.15">
      <c r="A12" s="86" t="s">
        <v>20</v>
      </c>
      <c r="B12" s="417">
        <f>B4*B3</f>
        <v>13325</v>
      </c>
    </row>
    <row r="13" spans="1:2" ht="13.15">
      <c r="A13" s="86" t="s">
        <v>158</v>
      </c>
      <c r="B13" s="419">
        <f>'Struttura Ricavi'!B5+'Struttura Ricavi'!B10+'Struttura Ricavi'!B14+'Struttura Ricavi'!B15</f>
        <v>25236098</v>
      </c>
    </row>
    <row r="14" spans="1:2" ht="13.15">
      <c r="A14" s="414" t="s">
        <v>197</v>
      </c>
      <c r="B14" s="389"/>
    </row>
    <row r="15" spans="1:2" ht="13.15">
      <c r="A15" s="83" t="s">
        <v>1</v>
      </c>
      <c r="B15" s="412">
        <v>44926</v>
      </c>
    </row>
    <row r="16" spans="1:2" ht="13.15">
      <c r="A16" s="90" t="s">
        <v>11</v>
      </c>
      <c r="B16" s="91">
        <f>INPUT!E90</f>
        <v>10</v>
      </c>
    </row>
    <row r="17" spans="1:2" ht="13.15">
      <c r="A17" s="90" t="s">
        <v>12</v>
      </c>
      <c r="B17" s="417">
        <f>INPUT!E91</f>
        <v>1332.5</v>
      </c>
    </row>
    <row r="18" spans="1:2" ht="13.15">
      <c r="A18" s="90" t="s">
        <v>13</v>
      </c>
      <c r="B18" s="418">
        <v>36.67</v>
      </c>
    </row>
    <row r="19" spans="1:2" ht="13.15">
      <c r="A19" s="90" t="s">
        <v>14</v>
      </c>
      <c r="B19" s="419">
        <f>B18*4</f>
        <v>146.68</v>
      </c>
    </row>
    <row r="20" spans="1:2" ht="13.15">
      <c r="A20" s="90" t="s">
        <v>15</v>
      </c>
      <c r="B20" s="419">
        <f>B19*B16</f>
        <v>1466.8000000000002</v>
      </c>
    </row>
    <row r="21" spans="1:2" ht="13.15">
      <c r="A21" s="90" t="s">
        <v>16</v>
      </c>
      <c r="B21" s="419">
        <f>B20*11</f>
        <v>16134.800000000003</v>
      </c>
    </row>
    <row r="22" spans="1:2" ht="13.15">
      <c r="A22" s="90" t="s">
        <v>17</v>
      </c>
      <c r="B22" s="420">
        <v>0.74</v>
      </c>
    </row>
    <row r="23" spans="1:2" ht="13.15">
      <c r="A23" s="415" t="s">
        <v>18</v>
      </c>
      <c r="B23" s="92">
        <f>IF(B22=0,0,B22^(-1))</f>
        <v>1.3513513513513513</v>
      </c>
    </row>
    <row r="24" spans="1:2" ht="13.15">
      <c r="A24" s="90" t="s">
        <v>19</v>
      </c>
      <c r="B24" s="417">
        <f>B17/B19</f>
        <v>9.084401418052904</v>
      </c>
    </row>
    <row r="25" spans="1:2" ht="13.15">
      <c r="A25" s="90" t="s">
        <v>20</v>
      </c>
      <c r="B25" s="417">
        <f>B17*B16</f>
        <v>13325</v>
      </c>
    </row>
    <row r="26" spans="1:2" ht="13.15">
      <c r="A26" s="90" t="s">
        <v>158</v>
      </c>
      <c r="B26" s="419">
        <f>'Struttura Ricavi'!B19+'Struttura Ricavi'!B24+'Struttura Ricavi'!B28+'Struttura Ricavi'!B29</f>
        <v>21714717</v>
      </c>
    </row>
    <row r="27" spans="1:2" ht="13.15">
      <c r="A27" s="411" t="s">
        <v>198</v>
      </c>
      <c r="B27" s="383"/>
    </row>
    <row r="28" spans="1:2" ht="13.15">
      <c r="A28" s="83" t="s">
        <v>1</v>
      </c>
      <c r="B28" s="412">
        <v>44926</v>
      </c>
    </row>
    <row r="29" spans="1:2" ht="13.15">
      <c r="A29" s="86" t="s">
        <v>11</v>
      </c>
      <c r="B29" s="91">
        <f>INPUT!B96</f>
        <v>8</v>
      </c>
    </row>
    <row r="30" spans="1:2" ht="13.15">
      <c r="A30" s="86" t="s">
        <v>12</v>
      </c>
      <c r="B30" s="417">
        <f>INPUT!B97</f>
        <v>1332.5</v>
      </c>
    </row>
    <row r="31" spans="1:2" ht="13.15">
      <c r="A31" s="86" t="s">
        <v>13</v>
      </c>
      <c r="B31" s="418">
        <v>36.67</v>
      </c>
    </row>
    <row r="32" spans="1:2" ht="13.15">
      <c r="A32" s="86" t="s">
        <v>14</v>
      </c>
      <c r="B32" s="419">
        <f>B31*4</f>
        <v>146.68</v>
      </c>
    </row>
    <row r="33" spans="1:2" ht="13.15">
      <c r="A33" s="86" t="s">
        <v>15</v>
      </c>
      <c r="B33" s="419">
        <f>B32*B29</f>
        <v>1173.44</v>
      </c>
    </row>
    <row r="34" spans="1:2" ht="13.15">
      <c r="A34" s="86" t="s">
        <v>16</v>
      </c>
      <c r="B34" s="419">
        <f>B33*11</f>
        <v>12907.84</v>
      </c>
    </row>
    <row r="35" spans="1:2" ht="13.15">
      <c r="A35" s="86" t="s">
        <v>17</v>
      </c>
      <c r="B35" s="420">
        <v>0.74</v>
      </c>
    </row>
    <row r="36" spans="1:2" ht="13.15">
      <c r="A36" s="413" t="s">
        <v>18</v>
      </c>
      <c r="B36" s="92">
        <f>IF(B35=0,0,B35^(-1))</f>
        <v>1.3513513513513513</v>
      </c>
    </row>
    <row r="37" spans="1:2" ht="13.15">
      <c r="A37" s="86" t="s">
        <v>19</v>
      </c>
      <c r="B37" s="417">
        <f>'Personale Diretto'!B30/'Personale Diretto'!B32</f>
        <v>9.084401418052904</v>
      </c>
    </row>
    <row r="38" spans="1:2" ht="13.15">
      <c r="A38" s="86" t="s">
        <v>20</v>
      </c>
      <c r="B38" s="417">
        <f>B30*B29</f>
        <v>10660</v>
      </c>
    </row>
    <row r="39" spans="1:2" ht="13.15">
      <c r="A39" s="86" t="s">
        <v>158</v>
      </c>
      <c r="B39" s="419">
        <f>'Struttura Ricavi'!B35+'Struttura Ricavi'!B40+'Struttura Ricavi'!B44+'Struttura Ricavi'!B45</f>
        <v>7583976</v>
      </c>
    </row>
    <row r="40" spans="1:2" ht="13.15">
      <c r="A40" s="414" t="s">
        <v>199</v>
      </c>
      <c r="B40" s="389"/>
    </row>
    <row r="41" spans="1:2" ht="13.15">
      <c r="A41" s="83" t="s">
        <v>1</v>
      </c>
      <c r="B41" s="412">
        <v>44926</v>
      </c>
    </row>
    <row r="42" spans="1:2" ht="13.15">
      <c r="A42" s="86" t="s">
        <v>11</v>
      </c>
      <c r="B42" s="91">
        <f>INPUT!E96</f>
        <v>6</v>
      </c>
    </row>
    <row r="43" spans="1:2" ht="13.15">
      <c r="A43" s="86" t="s">
        <v>12</v>
      </c>
      <c r="B43" s="417">
        <f>INPUT!E97</f>
        <v>1332.5</v>
      </c>
    </row>
    <row r="44" spans="1:2" ht="13.15">
      <c r="A44" s="86" t="s">
        <v>13</v>
      </c>
      <c r="B44" s="418">
        <v>36.67</v>
      </c>
    </row>
    <row r="45" spans="1:2" ht="13.15">
      <c r="A45" s="86" t="s">
        <v>14</v>
      </c>
      <c r="B45" s="419">
        <f>B44*4</f>
        <v>146.68</v>
      </c>
    </row>
    <row r="46" spans="1:2" ht="13.15">
      <c r="A46" s="86" t="s">
        <v>15</v>
      </c>
      <c r="B46" s="419">
        <f>B45*B42</f>
        <v>880.08</v>
      </c>
    </row>
    <row r="47" spans="1:2" ht="13.15">
      <c r="A47" s="86" t="s">
        <v>16</v>
      </c>
      <c r="B47" s="419">
        <f>B46*11</f>
        <v>9680.880000000001</v>
      </c>
    </row>
    <row r="48" spans="1:2" ht="13.15">
      <c r="A48" s="86" t="s">
        <v>17</v>
      </c>
      <c r="B48" s="420">
        <v>0.74</v>
      </c>
    </row>
    <row r="49" spans="1:2" ht="13.15">
      <c r="A49" s="413" t="s">
        <v>18</v>
      </c>
      <c r="B49" s="92">
        <f>IF(B48=0,0,B48^(-1))</f>
        <v>1.3513513513513513</v>
      </c>
    </row>
    <row r="50" spans="1:2" ht="13.15">
      <c r="A50" s="86" t="s">
        <v>19</v>
      </c>
      <c r="B50" s="417">
        <f>'Personale Diretto'!B43/'Personale Diretto'!B45</f>
        <v>9.084401418052904</v>
      </c>
    </row>
    <row r="51" spans="1:2" ht="13.15">
      <c r="A51" s="86" t="s">
        <v>20</v>
      </c>
      <c r="B51" s="417">
        <f>B43*B42</f>
        <v>7995</v>
      </c>
    </row>
    <row r="52" spans="1:2" ht="13.15">
      <c r="A52" s="86" t="s">
        <v>158</v>
      </c>
      <c r="B52" s="419">
        <f>'Struttura Ricavi'!B49+'Struttura Ricavi'!B54+'Struttura Ricavi'!B58+'Struttura Ricavi'!B59</f>
        <v>5259500</v>
      </c>
    </row>
  </sheetData>
  <phoneticPr fontId="0" type="noConversion"/>
  <printOptions horizontalCentered="1" verticalCentered="1"/>
  <pageMargins left="0.19685039370078741" right="0.19685039370078741" top="0.19685039370078741" bottom="0.19685039370078741" header="0.19685039370078741" footer="0.19685039370078741"/>
  <pageSetup paperSize="9" scale="95" orientation="landscape" verticalDpi="36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19</vt:i4>
      </vt:variant>
      <vt:variant>
        <vt:lpstr>Intervalli denominati</vt:lpstr>
      </vt:variant>
      <vt:variant>
        <vt:i4>16</vt:i4>
      </vt:variant>
    </vt:vector>
  </HeadingPairs>
  <TitlesOfParts>
    <vt:vector size="35" baseType="lpstr">
      <vt:lpstr>Welcome</vt:lpstr>
      <vt:lpstr>Menu</vt:lpstr>
      <vt:lpstr>PRESENTAZIONE</vt:lpstr>
      <vt:lpstr>Bilancio d'Esercizio</vt:lpstr>
      <vt:lpstr>C.E. Riclassificato</vt:lpstr>
      <vt:lpstr>Risultato Industriale</vt:lpstr>
      <vt:lpstr>Struttura Ricavi</vt:lpstr>
      <vt:lpstr>Scheda Ricavi</vt:lpstr>
      <vt:lpstr>Personale Diretto</vt:lpstr>
      <vt:lpstr>Costi diretti</vt:lpstr>
      <vt:lpstr>Struttura Costi AZ. A</vt:lpstr>
      <vt:lpstr>Struttura Costi AZ. B</vt:lpstr>
      <vt:lpstr>BreakEven Point AZ. A</vt:lpstr>
      <vt:lpstr>BreakEven Point AZ. A_Prodotti</vt:lpstr>
      <vt:lpstr>BreakEven Point AZ. B</vt:lpstr>
      <vt:lpstr>BreakEven Point AZ. B_Prodotti</vt:lpstr>
      <vt:lpstr>SINTESI DELLA SIMULAZIONE</vt:lpstr>
      <vt:lpstr>INPUT</vt:lpstr>
      <vt:lpstr>Legenda</vt:lpstr>
      <vt:lpstr>'BreakEven Point AZ. A'!Area_stampa</vt:lpstr>
      <vt:lpstr>'BreakEven Point AZ. A_Prodotti'!Area_stampa</vt:lpstr>
      <vt:lpstr>'BreakEven Point AZ. B'!Area_stampa</vt:lpstr>
      <vt:lpstr>'BreakEven Point AZ. B_Prodotti'!Area_stampa</vt:lpstr>
      <vt:lpstr>'C.E. Riclassificato'!Area_stampa</vt:lpstr>
      <vt:lpstr>'Risultato Industriale'!Area_stampa</vt:lpstr>
      <vt:lpstr>'Scheda Ricavi'!Area_stampa</vt:lpstr>
      <vt:lpstr>'Struttura Costi AZ. A'!Area_stampa</vt:lpstr>
      <vt:lpstr>'Struttura Costi AZ. B'!Area_stampa</vt:lpstr>
      <vt:lpstr>'Struttura Ricavi'!Area_stampa</vt:lpstr>
      <vt:lpstr>BIGLIETTERIA</vt:lpstr>
      <vt:lpstr>Pacchetto1</vt:lpstr>
      <vt:lpstr>Pacchetto2</vt:lpstr>
      <vt:lpstr>viaggi_aerei</vt:lpstr>
      <vt:lpstr>VIAGGI_DA_CATALOGO</vt:lpstr>
      <vt:lpstr>Viaggi_ferroviari</vt:lpstr>
    </vt:vector>
  </TitlesOfParts>
  <Company>Universita' del Molise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Andrea Quintiliani</dc:creator>
  <cp:lastModifiedBy>Andrea Quintiliani</cp:lastModifiedBy>
  <cp:lastPrinted>2004-01-26T14:10:08Z</cp:lastPrinted>
  <dcterms:created xsi:type="dcterms:W3CDTF">2000-12-21T21:35:06Z</dcterms:created>
  <dcterms:modified xsi:type="dcterms:W3CDTF">2025-10-20T10:16:30Z</dcterms:modified>
</cp:coreProperties>
</file>