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drea Quintiliani\Desktop\Finanza Aziendale_DEC_AA25_26\D_Simulazioni\"/>
    </mc:Choice>
  </mc:AlternateContent>
  <xr:revisionPtr revIDLastSave="0" documentId="13_ncr:1_{2E93D9EB-A94A-49C7-BCD9-5C19EB44B37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opertina" sheetId="3" r:id="rId1"/>
    <sheet name="Rating_Damodaran" sheetId="11" r:id="rId2"/>
    <sheet name="Rating_Altman" sheetId="12" r:id="rId3"/>
    <sheet name="Rating_Altman (2)" sheetId="13" r:id="rId4"/>
  </sheets>
  <definedNames>
    <definedName name="ac">#REF!</definedName>
    <definedName name="ACII">#REF!</definedName>
    <definedName name="ACIII">#REF!</definedName>
    <definedName name="AI">#REF!</definedName>
    <definedName name="AIII">#REF!</definedName>
    <definedName name="AIIII">#REF!</definedName>
    <definedName name="_xlnm.Print_Area" localSheetId="2">Rating_Altman!$A$5:$F$41</definedName>
    <definedName name="_xlnm.Print_Area" localSheetId="3">'Rating_Altman (2)'!$A$5:$F$14</definedName>
    <definedName name="AS2DocOpenMode" hidden="1">"AS2DocumentEdit"</definedName>
    <definedName name="CCES">#REF!</definedName>
    <definedName name="CCESII">#REF!</definedName>
    <definedName name="CCESIII">#REF!</definedName>
    <definedName name="CDES">#REF!</definedName>
    <definedName name="CDESII">#REF!</definedName>
    <definedName name="CDESIII">#REF!</definedName>
    <definedName name="CFES">#REF!</definedName>
    <definedName name="CFESII">#REF!</definedName>
    <definedName name="CFESIII">#REF!</definedName>
    <definedName name="CN">#REF!</definedName>
    <definedName name="CNII">#REF!</definedName>
    <definedName name="CNIII">#REF!</definedName>
    <definedName name="Compounding">#REF!</definedName>
    <definedName name="CP">#REF!</definedName>
    <definedName name="CPII">#REF!</definedName>
    <definedName name="CPIII">#REF!</definedName>
    <definedName name="DC">#REF!</definedName>
    <definedName name="DEFI">#REF!</definedName>
    <definedName name="DEFII">#REF!</definedName>
    <definedName name="DEFIII">#REF!</definedName>
    <definedName name="e">#REF!</definedName>
    <definedName name="ee" hidden="1">{#N/A,#N/A,FALSE,"Aging Summary";#N/A,#N/A,FALSE,"Ratio Analysis";#N/A,#N/A,FALSE,"Test 120 Day Accts";#N/A,#N/A,FALSE,"Tickmarks"}</definedName>
    <definedName name="FATT">#REF!</definedName>
    <definedName name="FATTII">#REF!</definedName>
    <definedName name="FATTIII">#REF!</definedName>
    <definedName name="IM">#REF!</definedName>
    <definedName name="IMCA">#REF!</definedName>
    <definedName name="IMCAII">#REF!</definedName>
    <definedName name="IMCAIII">#REF!</definedName>
    <definedName name="IMII">#REF!</definedName>
    <definedName name="IMIII">#REF!</definedName>
    <definedName name="L">#REF!</definedName>
    <definedName name="LCSPF">#REF!</definedName>
    <definedName name="LCSPFII">#REF!</definedName>
    <definedName name="LCSPFIII">#REF!</definedName>
    <definedName name="LII">#REF!</definedName>
    <definedName name="LIII">#REF!</definedName>
    <definedName name="MPS">#REF!</definedName>
    <definedName name="MPSII">#REF!</definedName>
    <definedName name="MPSIII">#REF!</definedName>
    <definedName name="OF">#REF!</definedName>
    <definedName name="OFII">#REF!</definedName>
    <definedName name="OFIII">#REF!</definedName>
    <definedName name="PC">#REF!</definedName>
    <definedName name="PCF">#REF!</definedName>
    <definedName name="PCII">#REF!</definedName>
    <definedName name="PCIII">#REF!</definedName>
    <definedName name="red" hidden="1">{#N/A,#N/A,FALSE,"Aging Summary";#N/A,#N/A,FALSE,"Ratio Analysis";#N/A,#N/A,FALSE,"Test 120 Day Accts";#N/A,#N/A,FALSE,"Tickmarks"}</definedName>
    <definedName name="TA">#REF!</definedName>
    <definedName name="TAA">#REF!</definedName>
    <definedName name="TAAII">#REF!</definedName>
    <definedName name="TAAIII">#REF!</definedName>
    <definedName name="TAII">#REF!</definedName>
    <definedName name="TAIII">#REF!</definedName>
    <definedName name="TextRefCopyRangeCount" hidden="1">1</definedName>
    <definedName name="TPN">#REF!</definedName>
    <definedName name="TPNII">#REF!</definedName>
    <definedName name="TPNIII">#REF!</definedName>
    <definedName name="wrn.Aging._.and._.Trend._.Analysis." hidden="1">{#N/A,#N/A,FALSE,"Aging Summary";#N/A,#N/A,FALSE,"Ratio Analysis";#N/A,#N/A,FALSE,"Test 120 Day Accts";#N/A,#N/A,FALSE,"Tickmarks"}</definedName>
    <definedName name="x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3" l="1"/>
  <c r="H8" i="13"/>
  <c r="H7" i="13"/>
  <c r="H6" i="13"/>
  <c r="H5" i="13"/>
  <c r="H9" i="12"/>
  <c r="H8" i="12"/>
  <c r="H7" i="12"/>
  <c r="H6" i="12"/>
  <c r="H5" i="12"/>
  <c r="D7" i="11"/>
  <c r="D9" i="11" s="1"/>
  <c r="D10" i="11" s="1"/>
  <c r="B38" i="12"/>
  <c r="B39" i="12" s="1"/>
  <c r="B40" i="12" s="1"/>
  <c r="B41" i="12" s="1"/>
  <c r="C38" i="12"/>
  <c r="H10" i="13" l="1"/>
  <c r="H10" i="12"/>
  <c r="B42" i="12"/>
  <c r="B43" i="12" s="1"/>
  <c r="B44" i="12" s="1"/>
  <c r="B45" i="12" s="1"/>
  <c r="B46" i="12" s="1"/>
  <c r="B47" i="12" s="1"/>
  <c r="D8" i="11"/>
  <c r="I5" i="12" l="1"/>
  <c r="B20" i="12" s="1"/>
  <c r="I11" i="12" l="1"/>
  <c r="B27" i="12"/>
  <c r="B26" i="12"/>
  <c r="B28" i="12" l="1"/>
  <c r="B30" i="12" s="1"/>
  <c r="B32" i="12" s="1"/>
  <c r="B34" i="12" s="1"/>
  <c r="C39" i="12" l="1"/>
  <c r="C40" i="12" s="1"/>
  <c r="C42" i="12" l="1"/>
  <c r="C43" i="12" s="1"/>
  <c r="C41" i="12"/>
  <c r="C44" i="12" l="1"/>
  <c r="C45" i="12" s="1"/>
  <c r="C46" i="12" s="1"/>
  <c r="D46" i="12" s="1"/>
  <c r="C47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Andrea</author>
  </authors>
  <commentList>
    <comment ref="F5" authorId="0" shapeId="0" xr:uid="{E59399A2-E139-4BF8-A142-0DEEBF1D2114}">
      <text>
        <r>
          <rPr>
            <b/>
            <sz val="8"/>
            <color indexed="81"/>
            <rFont val="Tahoma"/>
            <family val="2"/>
          </rPr>
          <t>Andrea Quintiliani:</t>
        </r>
        <r>
          <rPr>
            <sz val="8"/>
            <color indexed="81"/>
            <rFont val="Tahoma"/>
            <family val="2"/>
          </rPr>
          <t xml:space="preserve">
Fonte: Ministero dell'Economia e delle Finanze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Andrea</author>
  </authors>
  <commentList>
    <comment ref="I5" authorId="0" shapeId="0" xr:uid="{5701C011-E4A4-4AE4-8CBD-E0202DB0D6A8}">
      <text>
        <r>
          <rPr>
            <b/>
            <sz val="8"/>
            <color indexed="81"/>
            <rFont val="Tahoma"/>
            <family val="2"/>
          </rPr>
          <t xml:space="preserve"> Andrea:</t>
        </r>
        <r>
          <rPr>
            <sz val="8"/>
            <color indexed="81"/>
            <rFont val="Tahoma"/>
            <family val="2"/>
          </rPr>
          <t xml:space="preserve">
2.68 è il cut-off della fascia superiore</t>
        </r>
      </text>
    </comment>
  </commentList>
</comments>
</file>

<file path=xl/sharedStrings.xml><?xml version="1.0" encoding="utf-8"?>
<sst xmlns="http://schemas.openxmlformats.org/spreadsheetml/2006/main" count="151" uniqueCount="92">
  <si>
    <t>Autore:</t>
  </si>
  <si>
    <t>Prof. Andrea Quintiliani</t>
  </si>
  <si>
    <t xml:space="preserve">
Email: andrea.quintiliani@unich.it
</t>
  </si>
  <si>
    <t>Enter the type of firm =</t>
  </si>
  <si>
    <t>(Enter 1 if large manufacturing firm, 2 if smaller or riskier firm, 3 if financial service firm)</t>
  </si>
  <si>
    <t>Enter current Earnings before interest and taxes (EBIT) =</t>
  </si>
  <si>
    <t>(Add back only long term interest expense for financial firms)</t>
  </si>
  <si>
    <t>Enter current interest expenses =</t>
  </si>
  <si>
    <t>(Use only long term interest expense for financial firms)</t>
  </si>
  <si>
    <t>Enter current long term government bond rate =</t>
  </si>
  <si>
    <t>Output</t>
  </si>
  <si>
    <t>Interest  coverage ratio =</t>
  </si>
  <si>
    <t>Estimated Bond Rating =</t>
  </si>
  <si>
    <t>Estimated Default Spread =</t>
  </si>
  <si>
    <t>Estimated Cost of Debt =</t>
  </si>
  <si>
    <t>For large manufacturing firms</t>
  </si>
  <si>
    <t>For financial service firms</t>
  </si>
  <si>
    <t>If interest coverage ratio is</t>
  </si>
  <si>
    <t>If long term interest coverage ratio is</t>
  </si>
  <si>
    <t>&gt;</t>
  </si>
  <si>
    <t>≤ to</t>
  </si>
  <si>
    <t>Rating is</t>
  </si>
  <si>
    <t>Spread is</t>
  </si>
  <si>
    <t>greater than</t>
  </si>
  <si>
    <t>D</t>
  </si>
  <si>
    <t>C</t>
  </si>
  <si>
    <t>CC</t>
  </si>
  <si>
    <t>CCC</t>
  </si>
  <si>
    <t>B-</t>
  </si>
  <si>
    <t>B</t>
  </si>
  <si>
    <t>B+</t>
  </si>
  <si>
    <t>BB</t>
  </si>
  <si>
    <t>BBB</t>
  </si>
  <si>
    <t>A-</t>
  </si>
  <si>
    <t>A</t>
  </si>
  <si>
    <t>A+</t>
  </si>
  <si>
    <t>AA</t>
  </si>
  <si>
    <t>AAA</t>
  </si>
  <si>
    <t>For smaller and riskier firms</t>
  </si>
  <si>
    <t>Valore degli Indici (Xn)</t>
  </si>
  <si>
    <t>PD (%)</t>
  </si>
  <si>
    <t>Rating</t>
  </si>
  <si>
    <t>PD</t>
  </si>
  <si>
    <t>X1</t>
  </si>
  <si>
    <t>BBB+</t>
  </si>
  <si>
    <t>X2</t>
  </si>
  <si>
    <t>X3</t>
  </si>
  <si>
    <t>BBB-</t>
  </si>
  <si>
    <t>X4</t>
  </si>
  <si>
    <t>BB+</t>
  </si>
  <si>
    <t>X5</t>
  </si>
  <si>
    <t>BB-</t>
  </si>
  <si>
    <t>Fonte Unioncamere</t>
  </si>
  <si>
    <t>CALCOLO DEL COEFFICIENTE DI PONDERAZIONE E DEL CAPITALE ASSORBITO (Esposizione = 100)</t>
  </si>
  <si>
    <t>Valore nominale</t>
  </si>
  <si>
    <t>EAD</t>
  </si>
  <si>
    <t>LGD</t>
  </si>
  <si>
    <t>Scadenza in anni</t>
  </si>
  <si>
    <t>DATI DI INPUT</t>
  </si>
  <si>
    <t>Correlazione ®</t>
  </si>
  <si>
    <t>Aggiustamento in funzione della durata (b)</t>
  </si>
  <si>
    <t>Requisito patrimoniale (K)</t>
  </si>
  <si>
    <t>Coefficiente di ponderazione</t>
  </si>
  <si>
    <t>Attivo ponderato per il rischio</t>
  </si>
  <si>
    <t xml:space="preserve">Capitale assorbito </t>
  </si>
  <si>
    <t>BASILEA I</t>
  </si>
  <si>
    <t>BASILEA II</t>
  </si>
  <si>
    <t>Impiego bancario</t>
  </si>
  <si>
    <t xml:space="preserve">Coeff. Ponderazione </t>
  </si>
  <si>
    <t>Capitale assorbito</t>
  </si>
  <si>
    <t>Costo opportunità 8%</t>
  </si>
  <si>
    <t>Capitale disponibile</t>
  </si>
  <si>
    <t>Costi di raccolta (3,25%)</t>
  </si>
  <si>
    <t>Tot. Interessi passivi</t>
  </si>
  <si>
    <t>Rendimento atteso</t>
  </si>
  <si>
    <t>Spread su tasso variabile (3,25%)</t>
  </si>
  <si>
    <t>Spread in basis point su tasso variabile (3,25%)</t>
  </si>
  <si>
    <t>Z = 0,012X1+0,014X2+0,033X3+0,006X4+0,010X5 =</t>
  </si>
  <si>
    <t>Input for credit scoring model (Damodaran Model)</t>
  </si>
  <si>
    <t>Input for credit scoring model (Altman Z-score)</t>
  </si>
  <si>
    <t xml:space="preserve">Variable (Survey area) </t>
  </si>
  <si>
    <t>Weight</t>
  </si>
  <si>
    <t>Indices</t>
  </si>
  <si>
    <r>
      <t>Capitale Circolante Netto (</t>
    </r>
    <r>
      <rPr>
        <b/>
        <sz val="12"/>
        <rFont val="Times New Roman"/>
        <family val="1"/>
      </rPr>
      <t>Working Capital</t>
    </r>
    <r>
      <rPr>
        <sz val="12"/>
        <rFont val="Times New Roman"/>
        <family val="1"/>
      </rPr>
      <t>) ÷ Totale Attivo (</t>
    </r>
    <r>
      <rPr>
        <b/>
        <sz val="12"/>
        <rFont val="Times New Roman"/>
        <family val="1"/>
      </rPr>
      <t>Total Assets</t>
    </r>
    <r>
      <rPr>
        <sz val="12"/>
        <rFont val="Times New Roman"/>
        <family val="1"/>
      </rPr>
      <t xml:space="preserve">)                           </t>
    </r>
    <r>
      <rPr>
        <i/>
        <sz val="12"/>
        <rFont val="Times New Roman"/>
        <family val="1"/>
      </rPr>
      <t>(Liquidity ratio)</t>
    </r>
  </si>
  <si>
    <r>
      <t>Utili non distribuiti, portati a nuovo (</t>
    </r>
    <r>
      <rPr>
        <b/>
        <sz val="12"/>
        <rFont val="Times New Roman"/>
        <family val="1"/>
      </rPr>
      <t>Retained Earnings</t>
    </r>
    <r>
      <rPr>
        <sz val="12"/>
        <rFont val="Times New Roman"/>
        <family val="1"/>
      </rPr>
      <t xml:space="preserve">) </t>
    </r>
    <r>
      <rPr>
        <sz val="12"/>
        <rFont val="Aptos Narrow"/>
        <family val="2"/>
      </rPr>
      <t xml:space="preserve">÷ </t>
    </r>
    <r>
      <rPr>
        <sz val="12"/>
        <rFont val="Times New Roman"/>
        <family val="1"/>
      </rPr>
      <t>Totale Attivo (</t>
    </r>
    <r>
      <rPr>
        <b/>
        <sz val="12"/>
        <rFont val="Times New Roman"/>
        <family val="1"/>
      </rPr>
      <t>Total Assets</t>
    </r>
    <r>
      <rPr>
        <sz val="12"/>
        <rFont val="Times New Roman"/>
        <family val="1"/>
      </rPr>
      <t xml:space="preserve">)                </t>
    </r>
    <r>
      <rPr>
        <i/>
        <sz val="12"/>
        <rFont val="Times New Roman"/>
        <family val="1"/>
      </rPr>
      <t>(Solvency index)</t>
    </r>
  </si>
  <si>
    <r>
      <rPr>
        <b/>
        <sz val="12"/>
        <rFont val="Times New Roman"/>
        <family val="1"/>
      </rPr>
      <t>EBIT</t>
    </r>
    <r>
      <rPr>
        <sz val="12"/>
        <rFont val="Times New Roman"/>
        <family val="1"/>
      </rPr>
      <t xml:space="preserve"> </t>
    </r>
    <r>
      <rPr>
        <sz val="12"/>
        <rFont val="Aptos Narrow"/>
        <family val="2"/>
      </rPr>
      <t>÷</t>
    </r>
    <r>
      <rPr>
        <sz val="12"/>
        <rFont val="Times New Roman"/>
        <family val="1"/>
      </rPr>
      <t xml:space="preserve"> Totale Attivo (</t>
    </r>
    <r>
      <rPr>
        <b/>
        <sz val="12"/>
        <rFont val="Times New Roman"/>
        <family val="1"/>
      </rPr>
      <t>Total Assets</t>
    </r>
    <r>
      <rPr>
        <sz val="12"/>
        <rFont val="Times New Roman"/>
        <family val="1"/>
      </rPr>
      <t>)</t>
    </r>
  </si>
  <si>
    <r>
      <t>Valore di mercato del Capitale Proprio (</t>
    </r>
    <r>
      <rPr>
        <b/>
        <sz val="12"/>
        <rFont val="Times New Roman"/>
        <family val="1"/>
      </rPr>
      <t>Market Value of Equity</t>
    </r>
    <r>
      <rPr>
        <sz val="12"/>
        <rFont val="Times New Roman"/>
        <family val="1"/>
      </rPr>
      <t xml:space="preserve">)  </t>
    </r>
    <r>
      <rPr>
        <sz val="12"/>
        <rFont val="Aptos Narrow"/>
        <family val="2"/>
      </rPr>
      <t>÷</t>
    </r>
    <r>
      <rPr>
        <sz val="12"/>
        <rFont val="Times New Roman"/>
        <family val="1"/>
      </rPr>
      <t xml:space="preserve"> Totale Passività (</t>
    </r>
    <r>
      <rPr>
        <b/>
        <sz val="12"/>
        <rFont val="Times New Roman"/>
        <family val="1"/>
      </rPr>
      <t>Total Liabilitie</t>
    </r>
    <r>
      <rPr>
        <sz val="12"/>
        <rFont val="Times New Roman"/>
        <family val="1"/>
      </rPr>
      <t>s)                                                                                                                                 (</t>
    </r>
    <r>
      <rPr>
        <i/>
        <sz val="12"/>
        <rFont val="Times New Roman"/>
        <family val="1"/>
      </rPr>
      <t>Capitalization ratio - Financial leverage</t>
    </r>
    <r>
      <rPr>
        <sz val="12"/>
        <rFont val="Times New Roman"/>
        <family val="1"/>
      </rPr>
      <t>)</t>
    </r>
  </si>
  <si>
    <r>
      <t>Vendite (</t>
    </r>
    <r>
      <rPr>
        <b/>
        <sz val="12"/>
        <rFont val="Times New Roman"/>
        <family val="1"/>
      </rPr>
      <t>Sales</t>
    </r>
    <r>
      <rPr>
        <sz val="12"/>
        <rFont val="Times New Roman"/>
        <family val="1"/>
      </rPr>
      <t xml:space="preserve">) </t>
    </r>
    <r>
      <rPr>
        <sz val="12"/>
        <rFont val="Aptos Narrow"/>
        <family val="2"/>
      </rPr>
      <t>÷</t>
    </r>
    <r>
      <rPr>
        <sz val="12"/>
        <rFont val="Times New Roman"/>
        <family val="1"/>
      </rPr>
      <t xml:space="preserve"> Totale Attivo (</t>
    </r>
    <r>
      <rPr>
        <b/>
        <sz val="12"/>
        <rFont val="Times New Roman"/>
        <family val="1"/>
      </rPr>
      <t>Total Assets</t>
    </r>
    <r>
      <rPr>
        <sz val="12"/>
        <rFont val="Times New Roman"/>
        <family val="1"/>
      </rPr>
      <t xml:space="preserve">)            </t>
    </r>
    <r>
      <rPr>
        <i/>
        <sz val="12"/>
        <rFont val="Times New Roman"/>
        <family val="1"/>
      </rPr>
      <t>Asset Turnover Ratio</t>
    </r>
  </si>
  <si>
    <t>Z = 1,2X1+1,4X2+3,3X3+0,6X4+1X5 =</t>
  </si>
  <si>
    <t>Versione 2025/01</t>
  </si>
  <si>
    <t>(PRODOTTO "non commercializzabile")</t>
  </si>
  <si>
    <t xml:space="preserve">Il software è un'applicazione ad uso PERSONALE dell'Autore e degli Studenti del Corso "Finanza Aziendale" (Unich)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</si>
</sst>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-410]d\-mmm\-yy;@"/>
    <numFmt numFmtId="166" formatCode="0.000"/>
    <numFmt numFmtId="167" formatCode="0.0000000000"/>
    <numFmt numFmtId="168" formatCode="0.0%"/>
    <numFmt numFmtId="169" formatCode="#,##0\ &quot;€&quot;"/>
    <numFmt numFmtId="170" formatCode="#,##0.00\ &quot;€&quot;"/>
    <numFmt numFmtId="171" formatCode="0.0"/>
  </numFmts>
  <fonts count="23">
    <font>
      <sz val="10"/>
      <name val="Arial"/>
    </font>
    <font>
      <sz val="10"/>
      <name val="Arial"/>
    </font>
    <font>
      <sz val="10"/>
      <name val="Arial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4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b/>
      <sz val="11"/>
      <name val="Arial Narrow"/>
      <family val="2"/>
    </font>
    <font>
      <sz val="11"/>
      <name val="Arial"/>
      <family val="2"/>
    </font>
    <font>
      <sz val="10"/>
      <name val="Geneva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b/>
      <i/>
      <sz val="12"/>
      <name val="Arial"/>
      <family val="2"/>
    </font>
    <font>
      <sz val="12"/>
      <name val="Aptos Narrow"/>
      <family val="2"/>
    </font>
    <font>
      <i/>
      <sz val="12"/>
      <name val="Times New Roman"/>
      <family val="1"/>
    </font>
    <font>
      <b/>
      <i/>
      <u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AFDC7E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Protection="0"/>
    <xf numFmtId="0" fontId="1" fillId="0" borderId="0">
      <alignment vertical="top"/>
    </xf>
    <xf numFmtId="0" fontId="2" fillId="0" borderId="0"/>
    <xf numFmtId="9" fontId="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72">
    <xf numFmtId="0" fontId="0" fillId="0" borderId="0" xfId="0"/>
    <xf numFmtId="0" fontId="1" fillId="3" borderId="0" xfId="2" applyFill="1">
      <alignment vertical="top"/>
    </xf>
    <xf numFmtId="0" fontId="4" fillId="2" borderId="0" xfId="3" applyFont="1" applyFill="1" applyAlignment="1">
      <alignment vertical="center"/>
    </xf>
    <xf numFmtId="0" fontId="5" fillId="2" borderId="0" xfId="3" applyFont="1" applyFill="1" applyAlignment="1">
      <alignment horizontal="left" vertical="center" indent="1"/>
    </xf>
    <xf numFmtId="0" fontId="3" fillId="2" borderId="0" xfId="3" applyFont="1" applyFill="1" applyAlignment="1">
      <alignment horizontal="right" vertical="center"/>
    </xf>
    <xf numFmtId="0" fontId="6" fillId="2" borderId="0" xfId="3" applyFont="1" applyFill="1" applyAlignment="1">
      <alignment horizontal="left" vertical="center"/>
    </xf>
    <xf numFmtId="0" fontId="7" fillId="2" borderId="0" xfId="3" applyFont="1" applyFill="1" applyAlignment="1">
      <alignment vertical="center"/>
    </xf>
    <xf numFmtId="0" fontId="8" fillId="2" borderId="0" xfId="3" applyFont="1" applyFill="1" applyAlignment="1">
      <alignment horizontal="left" vertical="center" indent="1"/>
    </xf>
    <xf numFmtId="0" fontId="9" fillId="2" borderId="0" xfId="3" applyFont="1" applyFill="1" applyAlignment="1">
      <alignment horizontal="left" vertical="center"/>
    </xf>
    <xf numFmtId="0" fontId="10" fillId="3" borderId="0" xfId="2" applyFont="1" applyFill="1">
      <alignment vertical="top"/>
    </xf>
    <xf numFmtId="0" fontId="8" fillId="2" borderId="0" xfId="3" applyFont="1" applyFill="1" applyAlignment="1">
      <alignment vertical="center"/>
    </xf>
    <xf numFmtId="165" fontId="6" fillId="2" borderId="0" xfId="3" applyNumberFormat="1" applyFont="1" applyFill="1" applyAlignment="1">
      <alignment horizontal="left" vertical="center"/>
    </xf>
    <xf numFmtId="0" fontId="8" fillId="2" borderId="0" xfId="3" applyFont="1" applyFill="1" applyAlignment="1">
      <alignment horizontal="left" vertical="center"/>
    </xf>
    <xf numFmtId="0" fontId="12" fillId="0" borderId="0" xfId="0" applyFont="1"/>
    <xf numFmtId="0" fontId="12" fillId="3" borderId="0" xfId="5" applyFont="1" applyFill="1" applyAlignment="1">
      <alignment vertical="center"/>
    </xf>
    <xf numFmtId="0" fontId="15" fillId="0" borderId="0" xfId="0" applyFont="1"/>
    <xf numFmtId="49" fontId="15" fillId="0" borderId="0" xfId="0" applyNumberFormat="1" applyFont="1"/>
    <xf numFmtId="0" fontId="17" fillId="0" borderId="0" xfId="0" applyFont="1"/>
    <xf numFmtId="0" fontId="18" fillId="0" borderId="3" xfId="0" applyFont="1" applyBorder="1" applyAlignment="1">
      <alignment horizontal="center" vertical="center" wrapText="1"/>
    </xf>
    <xf numFmtId="10" fontId="15" fillId="0" borderId="0" xfId="0" applyNumberFormat="1" applyFont="1"/>
    <xf numFmtId="2" fontId="19" fillId="0" borderId="2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2" fontId="15" fillId="0" borderId="0" xfId="0" applyNumberFormat="1" applyFont="1"/>
    <xf numFmtId="3" fontId="15" fillId="0" borderId="0" xfId="0" applyNumberFormat="1" applyFont="1" applyAlignment="1">
      <alignment horizontal="left"/>
    </xf>
    <xf numFmtId="10" fontId="15" fillId="0" borderId="0" xfId="0" applyNumberFormat="1" applyFont="1" applyAlignment="1">
      <alignment horizontal="left"/>
    </xf>
    <xf numFmtId="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167" fontId="15" fillId="0" borderId="0" xfId="0" applyNumberFormat="1" applyFont="1" applyAlignment="1">
      <alignment horizontal="left"/>
    </xf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horizontal="left"/>
    </xf>
    <xf numFmtId="168" fontId="15" fillId="0" borderId="0" xfId="0" applyNumberFormat="1" applyFont="1" applyAlignment="1">
      <alignment horizontal="left"/>
    </xf>
    <xf numFmtId="0" fontId="19" fillId="0" borderId="0" xfId="0" applyFont="1"/>
    <xf numFmtId="4" fontId="1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2" fontId="12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2" fontId="12" fillId="4" borderId="2" xfId="5" applyNumberFormat="1" applyFont="1" applyFill="1" applyBorder="1" applyAlignment="1">
      <alignment horizontal="center" vertical="center"/>
    </xf>
    <xf numFmtId="170" fontId="12" fillId="4" borderId="2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0" fontId="12" fillId="4" borderId="2" xfId="5" applyFont="1" applyFill="1" applyBorder="1" applyAlignment="1">
      <alignment horizontal="center" vertical="center"/>
    </xf>
    <xf numFmtId="169" fontId="12" fillId="5" borderId="2" xfId="3" applyNumberFormat="1" applyFont="1" applyFill="1" applyBorder="1" applyAlignment="1">
      <alignment horizontal="center" vertical="center"/>
    </xf>
    <xf numFmtId="10" fontId="12" fillId="5" borderId="2" xfId="3" applyNumberFormat="1" applyFont="1" applyFill="1" applyBorder="1" applyAlignment="1">
      <alignment horizontal="center" vertical="center"/>
    </xf>
    <xf numFmtId="2" fontId="12" fillId="3" borderId="2" xfId="5" applyNumberFormat="1" applyFont="1" applyFill="1" applyBorder="1" applyAlignment="1">
      <alignment horizontal="center" vertical="center"/>
    </xf>
    <xf numFmtId="0" fontId="12" fillId="3" borderId="3" xfId="5" applyFont="1" applyFill="1" applyBorder="1" applyAlignment="1">
      <alignment horizontal="center" vertical="center"/>
    </xf>
    <xf numFmtId="10" fontId="12" fillId="3" borderId="2" xfId="6" applyNumberFormat="1" applyFont="1" applyFill="1" applyBorder="1" applyAlignment="1">
      <alignment horizontal="center" vertical="center"/>
    </xf>
    <xf numFmtId="10" fontId="12" fillId="3" borderId="2" xfId="5" applyNumberFormat="1" applyFont="1" applyFill="1" applyBorder="1" applyAlignment="1">
      <alignment horizontal="center" vertical="center"/>
    </xf>
    <xf numFmtId="10" fontId="12" fillId="3" borderId="0" xfId="5" applyNumberFormat="1" applyFont="1" applyFill="1" applyAlignment="1">
      <alignment horizontal="center" vertical="center"/>
    </xf>
    <xf numFmtId="0" fontId="17" fillId="3" borderId="1" xfId="5" applyFont="1" applyFill="1" applyBorder="1" applyAlignment="1">
      <alignment horizontal="centerContinuous" vertical="center"/>
    </xf>
    <xf numFmtId="0" fontId="17" fillId="3" borderId="1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5" fillId="3" borderId="0" xfId="5" applyFont="1" applyFill="1" applyAlignment="1">
      <alignment horizontal="centerContinuous" vertical="center"/>
    </xf>
    <xf numFmtId="0" fontId="17" fillId="3" borderId="1" xfId="5" applyFont="1" applyFill="1" applyBorder="1" applyAlignment="1">
      <alignment horizontal="center" vertical="center"/>
    </xf>
    <xf numFmtId="0" fontId="15" fillId="3" borderId="1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0" fontId="15" fillId="3" borderId="1" xfId="6" applyNumberFormat="1" applyFont="1" applyFill="1" applyBorder="1" applyAlignment="1">
      <alignment horizontal="center" vertical="center"/>
    </xf>
    <xf numFmtId="2" fontId="15" fillId="3" borderId="1" xfId="5" applyNumberFormat="1" applyFont="1" applyFill="1" applyBorder="1" applyAlignment="1">
      <alignment horizontal="center" vertical="center"/>
    </xf>
    <xf numFmtId="0" fontId="15" fillId="3" borderId="1" xfId="5" applyFont="1" applyFill="1" applyBorder="1" applyAlignment="1">
      <alignment horizontal="centerContinuous" vertical="center"/>
    </xf>
    <xf numFmtId="2" fontId="18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6" fontId="15" fillId="0" borderId="5" xfId="0" applyNumberFormat="1" applyFont="1" applyBorder="1" applyAlignment="1">
      <alignment horizontal="center" vertical="center" wrapText="1"/>
    </xf>
    <xf numFmtId="171" fontId="15" fillId="0" borderId="5" xfId="0" applyNumberFormat="1" applyFont="1" applyBorder="1" applyAlignment="1">
      <alignment horizontal="center" vertical="center" wrapText="1"/>
    </xf>
    <xf numFmtId="0" fontId="22" fillId="2" borderId="0" xfId="3" applyFont="1" applyFill="1" applyAlignment="1">
      <alignment horizontal="left" vertical="center"/>
    </xf>
    <xf numFmtId="10" fontId="15" fillId="0" borderId="6" xfId="0" applyNumberFormat="1" applyFont="1" applyBorder="1" applyAlignment="1">
      <alignment horizontal="center" vertical="center" wrapText="1"/>
    </xf>
    <xf numFmtId="10" fontId="15" fillId="0" borderId="7" xfId="0" applyNumberFormat="1" applyFont="1" applyBorder="1" applyAlignment="1">
      <alignment horizontal="center" vertical="center" wrapText="1"/>
    </xf>
    <xf numFmtId="10" fontId="15" fillId="0" borderId="3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4" xfId="0" applyFont="1" applyBorder="1" applyAlignment="1">
      <alignment horizontal="right"/>
    </xf>
  </cellXfs>
  <cellStyles count="7">
    <cellStyle name="Migliaia 2" xfId="1" xr:uid="{00000000-0005-0000-0000-000000000000}"/>
    <cellStyle name="Normale" xfId="0" builtinId="0"/>
    <cellStyle name="Normale 2" xfId="2" xr:uid="{00000000-0005-0000-0000-000002000000}"/>
    <cellStyle name="Normale 3" xfId="3" xr:uid="{00000000-0005-0000-0000-000003000000}"/>
    <cellStyle name="Normale 4" xfId="5" xr:uid="{261928F8-23B1-4498-B12D-EE6AE531BBC4}"/>
    <cellStyle name="Percentuale 2" xfId="4" xr:uid="{00000000-0005-0000-0000-000004000000}"/>
    <cellStyle name="Percentuale 3" xfId="6" xr:uid="{E36A5116-7472-4FE4-81CF-8DDD4A6D3502}"/>
  </cellStyles>
  <dxfs count="0"/>
  <tableStyles count="0" defaultTableStyle="TableStyleMedium9" defaultPivotStyle="PivotStyleLight16"/>
  <colors>
    <mruColors>
      <color rgb="FFAF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12</xdr:row>
      <xdr:rowOff>22225</xdr:rowOff>
    </xdr:from>
    <xdr:to>
      <xdr:col>10</xdr:col>
      <xdr:colOff>466718</xdr:colOff>
      <xdr:row>20</xdr:row>
      <xdr:rowOff>3175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23900" y="2124075"/>
          <a:ext cx="5819775" cy="1276350"/>
        </a:xfrm>
        <a:prstGeom prst="rect">
          <a:avLst/>
        </a:prstGeom>
        <a:solidFill>
          <a:sysClr val="window" lastClr="FFFFFF"/>
        </a:solidFill>
        <a:ln w="50800" algn="ctr">
          <a:solidFill>
            <a:schemeClr val="accent2"/>
          </a:solidFill>
          <a:miter lim="800000"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it-IT" sz="1800" b="1" i="0" baseline="0">
              <a:solidFill>
                <a:sysClr val="windowText" lastClr="000000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</a:rPr>
            <a:t>Finanza Aziendale</a:t>
          </a:r>
        </a:p>
        <a:p>
          <a:pPr algn="ctr">
            <a:defRPr/>
          </a:pPr>
          <a:endParaRPr lang="it-IT" sz="1800" b="1" i="0" baseline="0">
            <a:solidFill>
              <a:sysClr val="windowText" lastClr="000000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  <a:p>
          <a:pPr algn="ctr">
            <a:defRPr/>
          </a:pPr>
          <a:r>
            <a:rPr lang="it-IT" sz="1800" b="0" i="0" baseline="0">
              <a:solidFill>
                <a:srgbClr val="C00000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</a:rPr>
            <a:t>Credit Scoring Models</a:t>
          </a:r>
        </a:p>
      </xdr:txBody>
    </xdr:sp>
    <xdr:clientData/>
  </xdr:twoCellAnchor>
  <xdr:twoCellAnchor>
    <xdr:from>
      <xdr:col>0</xdr:col>
      <xdr:colOff>294198</xdr:colOff>
      <xdr:row>1</xdr:row>
      <xdr:rowOff>71562</xdr:rowOff>
    </xdr:from>
    <xdr:to>
      <xdr:col>10</xdr:col>
      <xdr:colOff>612249</xdr:colOff>
      <xdr:row>11</xdr:row>
      <xdr:rowOff>39835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75C7B515-DDF6-4B3B-8344-04A03E90368E}"/>
            </a:ext>
          </a:extLst>
        </xdr:cNvPr>
        <xdr:cNvSpPr>
          <a:spLocks noChangeArrowheads="1"/>
        </xdr:cNvSpPr>
      </xdr:nvSpPr>
      <xdr:spPr bwMode="auto">
        <a:xfrm>
          <a:off x="294198" y="230588"/>
          <a:ext cx="6838121" cy="17175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anchor="b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>
                <a:outerShdw blurRad="38100" dist="38100" dir="2700000" algn="tl">
                  <a:srgbClr val="C0C0C0"/>
                </a:outerShdw>
              </a:effectLst>
              <a:uLnTx/>
              <a:uFillTx/>
              <a:latin typeface="Arial" charset="0"/>
              <a:ea typeface="+mn-ea"/>
              <a:cs typeface="+mn-cs"/>
            </a:rPr>
            <a:t>Università degli Studi "G. d'Annunzio" Chieti – Pescara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Dipartimento di Economia (DEC)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CdS Triennale (L-33) in ECONOMIA E COMMERCIO (CLEC)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Percorso: Economia e Finanza 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25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Insegnamento di: Finanza Aziendale – 9 CFU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25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1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A.A. 2025/2026</a:t>
          </a:r>
          <a:endParaRPr lang="it-IT" sz="16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19843</xdr:rowOff>
    </xdr:from>
    <xdr:to>
      <xdr:col>1</xdr:col>
      <xdr:colOff>2479226</xdr:colOff>
      <xdr:row>10</xdr:row>
      <xdr:rowOff>139625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34DDEFC-4E1F-6B9A-1AC8-560D95745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2031"/>
          <a:ext cx="5803054" cy="309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39"/>
  <sheetViews>
    <sheetView showRowColHeaders="0" tabSelected="1" workbookViewId="0">
      <selection activeCell="N15" sqref="N15"/>
    </sheetView>
  </sheetViews>
  <sheetFormatPr defaultColWidth="9.109375" defaultRowHeight="12.55"/>
  <cols>
    <col min="1" max="16384" width="9.109375" style="1"/>
  </cols>
  <sheetData>
    <row r="4" ht="18.8" customHeight="1"/>
    <row r="6" ht="18.8" customHeight="1"/>
    <row r="23" spans="2:11" ht="14.4">
      <c r="B23" s="5" t="s">
        <v>0</v>
      </c>
      <c r="C23" s="6"/>
      <c r="D23" s="6"/>
      <c r="E23" s="7"/>
      <c r="F23" s="7"/>
      <c r="G23" s="6"/>
      <c r="H23" s="6"/>
      <c r="I23" s="6"/>
      <c r="J23" s="2"/>
    </row>
    <row r="24" spans="2:11" ht="14.4">
      <c r="B24" s="8" t="s">
        <v>1</v>
      </c>
      <c r="C24" s="9"/>
      <c r="D24" s="9"/>
      <c r="E24" s="10"/>
      <c r="F24" s="6"/>
      <c r="G24" s="6"/>
      <c r="H24" s="6"/>
      <c r="I24" s="6"/>
      <c r="J24" s="4"/>
    </row>
    <row r="25" spans="2:11" ht="14.4">
      <c r="B25" s="6" t="s">
        <v>2</v>
      </c>
      <c r="C25" s="2"/>
      <c r="D25" s="2"/>
      <c r="E25" s="2"/>
      <c r="F25" s="2"/>
      <c r="G25" s="2"/>
      <c r="H25" s="2"/>
      <c r="I25" s="2"/>
      <c r="J25" s="2"/>
    </row>
    <row r="26" spans="2:11" ht="18" customHeight="1">
      <c r="B26" s="11" t="s">
        <v>89</v>
      </c>
      <c r="C26" s="6"/>
      <c r="D26" s="6"/>
      <c r="E26" s="9"/>
      <c r="F26" s="9"/>
      <c r="G26" s="9"/>
      <c r="H26" s="9"/>
      <c r="I26" s="9"/>
    </row>
    <row r="27" spans="2:11" ht="14.4">
      <c r="B27" s="12" t="s">
        <v>91</v>
      </c>
      <c r="C27" s="9"/>
      <c r="D27" s="9"/>
      <c r="E27" s="9"/>
      <c r="F27" s="9"/>
      <c r="G27" s="9"/>
      <c r="H27" s="9"/>
      <c r="I27" s="9"/>
    </row>
    <row r="28" spans="2:11" ht="13.15">
      <c r="B28" s="65" t="s">
        <v>90</v>
      </c>
    </row>
    <row r="29" spans="2:11" ht="17.55">
      <c r="B29" s="3"/>
    </row>
    <row r="30" spans="2:11" ht="17.55">
      <c r="B30" s="3"/>
    </row>
    <row r="31" spans="2:11" ht="17.5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7.5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7.5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2.7" customHeight="1">
      <c r="B34" s="3"/>
      <c r="D34" s="3"/>
      <c r="E34" s="3"/>
      <c r="F34" s="3"/>
      <c r="G34" s="3"/>
      <c r="H34" s="3"/>
      <c r="I34" s="3"/>
      <c r="J34" s="3"/>
      <c r="K34" s="3"/>
    </row>
    <row r="35" spans="2:11" ht="17.5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7.55">
      <c r="B36" s="3"/>
      <c r="C36" s="3"/>
      <c r="D36" s="3"/>
      <c r="F36" s="3"/>
      <c r="G36" s="3"/>
      <c r="H36" s="3"/>
      <c r="I36" s="3"/>
      <c r="J36" s="3"/>
      <c r="K36" s="3"/>
    </row>
    <row r="37" spans="2:11" ht="17.5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7.5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7.55">
      <c r="B39" s="3"/>
      <c r="C39" s="3"/>
      <c r="D39" s="3"/>
      <c r="E39" s="3"/>
      <c r="F39" s="3"/>
      <c r="G39" s="3"/>
      <c r="H39" s="3"/>
      <c r="I39" s="3"/>
      <c r="J39" s="3"/>
      <c r="K39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D467-F5FC-4867-9A0C-322CE26327B8}">
  <dimension ref="A1:I46"/>
  <sheetViews>
    <sheetView zoomScaleNormal="100" workbookViewId="0">
      <selection activeCell="A10" sqref="A10"/>
    </sheetView>
  </sheetViews>
  <sheetFormatPr defaultColWidth="11.5546875" defaultRowHeight="15.05"/>
  <cols>
    <col min="1" max="1" width="57.5546875" style="41" bestFit="1" customWidth="1"/>
    <col min="2" max="4" width="11.5546875" style="41" bestFit="1" customWidth="1"/>
    <col min="5" max="5" width="11.5546875" style="41"/>
    <col min="6" max="6" width="37.5546875" style="41" bestFit="1" customWidth="1"/>
    <col min="7" max="7" width="11.5546875" style="41" bestFit="1" customWidth="1"/>
    <col min="8" max="8" width="11.5546875" style="41"/>
    <col min="9" max="9" width="11.5546875" style="41" bestFit="1" customWidth="1"/>
    <col min="10" max="16384" width="11.5546875" style="41"/>
  </cols>
  <sheetData>
    <row r="1" spans="1:9" ht="20.2" customHeight="1" thickBot="1">
      <c r="A1" s="14" t="s">
        <v>78</v>
      </c>
    </row>
    <row r="2" spans="1:9" ht="15.65" thickBot="1">
      <c r="A2" s="41" t="s">
        <v>3</v>
      </c>
      <c r="C2" s="42">
        <v>2</v>
      </c>
      <c r="D2" s="41" t="s">
        <v>4</v>
      </c>
    </row>
    <row r="3" spans="1:9" ht="15.65" thickBot="1">
      <c r="A3" s="41" t="s">
        <v>5</v>
      </c>
      <c r="F3" s="43">
        <v>3505673</v>
      </c>
      <c r="G3" s="41" t="s">
        <v>6</v>
      </c>
    </row>
    <row r="4" spans="1:9" ht="15.65" thickBot="1">
      <c r="A4" s="41" t="s">
        <v>7</v>
      </c>
      <c r="F4" s="43">
        <v>213454</v>
      </c>
      <c r="G4" s="41" t="s">
        <v>8</v>
      </c>
    </row>
    <row r="5" spans="1:9" ht="15.65" thickBot="1">
      <c r="A5" s="41" t="s">
        <v>9</v>
      </c>
      <c r="F5" s="44">
        <v>0.04</v>
      </c>
    </row>
    <row r="6" spans="1:9" ht="15.65" thickBot="1">
      <c r="A6" s="14" t="s">
        <v>10</v>
      </c>
    </row>
    <row r="7" spans="1:9" ht="15.65" thickBot="1">
      <c r="A7" s="41" t="s">
        <v>11</v>
      </c>
      <c r="D7" s="45">
        <f>F3/F4</f>
        <v>16.423552615551827</v>
      </c>
    </row>
    <row r="8" spans="1:9" ht="15.65" thickBot="1">
      <c r="A8" s="41" t="s">
        <v>12</v>
      </c>
      <c r="D8" s="46" t="str">
        <f>IF(C2=1,VLOOKUP(D7,A15:D28,3),(IF(C2=2,VLOOKUP(D7,A33:D46,3),VLOOKUP(D7,F15:I28,3))))</f>
        <v>AAA</v>
      </c>
    </row>
    <row r="9" spans="1:9" ht="15.65" thickBot="1">
      <c r="A9" s="41" t="s">
        <v>13</v>
      </c>
      <c r="D9" s="47">
        <f>IF(C2=1,VLOOKUP(D7,A15:D28,4),(IF(C2=2,VLOOKUP(D7,A33:D46,4),VLOOKUP(D7,F15:I28,4))))</f>
        <v>2E-3</v>
      </c>
    </row>
    <row r="10" spans="1:9" ht="15.65" thickBot="1">
      <c r="A10" s="41" t="s">
        <v>14</v>
      </c>
      <c r="D10" s="48">
        <f>F5+D9</f>
        <v>4.2000000000000003E-2</v>
      </c>
    </row>
    <row r="11" spans="1:9">
      <c r="D11" s="49"/>
    </row>
    <row r="12" spans="1:9">
      <c r="A12" s="14" t="s">
        <v>15</v>
      </c>
      <c r="F12" s="14" t="s">
        <v>16</v>
      </c>
    </row>
    <row r="13" spans="1:9" ht="15.65">
      <c r="A13" s="50" t="s">
        <v>17</v>
      </c>
      <c r="B13" s="50"/>
      <c r="C13" s="51"/>
      <c r="D13" s="51"/>
      <c r="F13" s="52" t="s">
        <v>18</v>
      </c>
      <c r="G13" s="53"/>
    </row>
    <row r="14" spans="1:9" ht="15.65">
      <c r="A14" s="54" t="s">
        <v>19</v>
      </c>
      <c r="B14" s="54" t="s">
        <v>20</v>
      </c>
      <c r="C14" s="54" t="s">
        <v>21</v>
      </c>
      <c r="D14" s="54" t="s">
        <v>22</v>
      </c>
      <c r="F14" s="55" t="s">
        <v>23</v>
      </c>
      <c r="G14" s="55" t="s">
        <v>20</v>
      </c>
      <c r="H14" s="55" t="s">
        <v>21</v>
      </c>
      <c r="I14" s="55" t="s">
        <v>22</v>
      </c>
    </row>
    <row r="15" spans="1:9">
      <c r="A15" s="55">
        <v>-100000</v>
      </c>
      <c r="B15" s="55">
        <v>0.19999900000000001</v>
      </c>
      <c r="C15" s="55" t="s">
        <v>24</v>
      </c>
      <c r="D15" s="56">
        <v>0.1</v>
      </c>
      <c r="F15" s="55">
        <v>-100000</v>
      </c>
      <c r="G15" s="55">
        <v>4.9999000000000002E-2</v>
      </c>
      <c r="H15" s="55" t="s">
        <v>24</v>
      </c>
      <c r="I15" s="57">
        <v>0.1</v>
      </c>
    </row>
    <row r="16" spans="1:9">
      <c r="A16" s="55">
        <v>0.2</v>
      </c>
      <c r="B16" s="55">
        <v>0.64999899999999999</v>
      </c>
      <c r="C16" s="55" t="s">
        <v>25</v>
      </c>
      <c r="D16" s="56">
        <v>7.4999999999999997E-2</v>
      </c>
      <c r="F16" s="55">
        <v>0.05</v>
      </c>
      <c r="G16" s="55">
        <v>9.9999000000000005E-2</v>
      </c>
      <c r="H16" s="55" t="s">
        <v>25</v>
      </c>
      <c r="I16" s="57">
        <v>7.4999999999999997E-2</v>
      </c>
    </row>
    <row r="17" spans="1:9">
      <c r="A17" s="55">
        <v>0.65</v>
      </c>
      <c r="B17" s="55">
        <v>0.79999900000000002</v>
      </c>
      <c r="C17" s="55" t="s">
        <v>26</v>
      </c>
      <c r="D17" s="56">
        <v>0.06</v>
      </c>
      <c r="F17" s="55">
        <v>0.1</v>
      </c>
      <c r="G17" s="55">
        <v>0.19999900000000001</v>
      </c>
      <c r="H17" s="55" t="s">
        <v>26</v>
      </c>
      <c r="I17" s="57">
        <v>0.06</v>
      </c>
    </row>
    <row r="18" spans="1:9">
      <c r="A18" s="55">
        <v>0.8</v>
      </c>
      <c r="B18" s="55">
        <v>1.2499990000000001</v>
      </c>
      <c r="C18" s="55" t="s">
        <v>27</v>
      </c>
      <c r="D18" s="56">
        <v>0.05</v>
      </c>
      <c r="F18" s="55">
        <v>0.2</v>
      </c>
      <c r="G18" s="55">
        <v>0.29999900000000002</v>
      </c>
      <c r="H18" s="55" t="s">
        <v>27</v>
      </c>
      <c r="I18" s="57">
        <v>0.05</v>
      </c>
    </row>
    <row r="19" spans="1:9">
      <c r="A19" s="55">
        <v>1.25</v>
      </c>
      <c r="B19" s="55">
        <v>1.4999990000000001</v>
      </c>
      <c r="C19" s="55" t="s">
        <v>28</v>
      </c>
      <c r="D19" s="56">
        <v>4.2500000000000003E-2</v>
      </c>
      <c r="F19" s="55">
        <v>0.3</v>
      </c>
      <c r="G19" s="55">
        <v>0.39999899999999999</v>
      </c>
      <c r="H19" s="55" t="s">
        <v>28</v>
      </c>
      <c r="I19" s="57">
        <v>4.2500000000000003E-2</v>
      </c>
    </row>
    <row r="20" spans="1:9">
      <c r="A20" s="55">
        <v>1.5</v>
      </c>
      <c r="B20" s="55">
        <v>1.7499990000000001</v>
      </c>
      <c r="C20" s="55" t="s">
        <v>29</v>
      </c>
      <c r="D20" s="56">
        <v>3.2500000000000001E-2</v>
      </c>
      <c r="F20" s="55">
        <v>0.4</v>
      </c>
      <c r="G20" s="55">
        <v>0.49999900000000003</v>
      </c>
      <c r="H20" s="55" t="s">
        <v>29</v>
      </c>
      <c r="I20" s="57">
        <v>3.2500000000000001E-2</v>
      </c>
    </row>
    <row r="21" spans="1:9">
      <c r="A21" s="55">
        <v>1.75</v>
      </c>
      <c r="B21" s="55">
        <v>1.9999990000000001</v>
      </c>
      <c r="C21" s="55" t="s">
        <v>30</v>
      </c>
      <c r="D21" s="56">
        <v>2.5000000000000001E-2</v>
      </c>
      <c r="F21" s="55">
        <v>0.5</v>
      </c>
      <c r="G21" s="55">
        <v>0.59999899999999995</v>
      </c>
      <c r="H21" s="55" t="s">
        <v>30</v>
      </c>
      <c r="I21" s="57">
        <v>2.5000000000000001E-2</v>
      </c>
    </row>
    <row r="22" spans="1:9">
      <c r="A22" s="55">
        <v>2</v>
      </c>
      <c r="B22" s="55">
        <v>2.4999989999999999</v>
      </c>
      <c r="C22" s="55" t="s">
        <v>31</v>
      </c>
      <c r="D22" s="56">
        <v>0.02</v>
      </c>
      <c r="F22" s="55">
        <v>0.6</v>
      </c>
      <c r="G22" s="55">
        <v>0.79999900000000002</v>
      </c>
      <c r="H22" s="55" t="s">
        <v>31</v>
      </c>
      <c r="I22" s="57">
        <v>0.02</v>
      </c>
    </row>
    <row r="23" spans="1:9">
      <c r="A23" s="55">
        <v>2.5</v>
      </c>
      <c r="B23" s="55">
        <v>2.9999989999999999</v>
      </c>
      <c r="C23" s="55" t="s">
        <v>32</v>
      </c>
      <c r="D23" s="56">
        <v>1.4999999999999999E-2</v>
      </c>
      <c r="F23" s="55">
        <v>0.8</v>
      </c>
      <c r="G23" s="55">
        <v>0.99999899999999997</v>
      </c>
      <c r="H23" s="55" t="s">
        <v>32</v>
      </c>
      <c r="I23" s="57">
        <v>1.4999999999999999E-2</v>
      </c>
    </row>
    <row r="24" spans="1:9">
      <c r="A24" s="55">
        <v>3</v>
      </c>
      <c r="B24" s="55">
        <v>4.2499989999999999</v>
      </c>
      <c r="C24" s="55" t="s">
        <v>33</v>
      </c>
      <c r="D24" s="56">
        <v>1.2500000000000001E-2</v>
      </c>
      <c r="F24" s="55">
        <v>1</v>
      </c>
      <c r="G24" s="55">
        <v>1.4999899999999999</v>
      </c>
      <c r="H24" s="55" t="s">
        <v>33</v>
      </c>
      <c r="I24" s="57">
        <v>1.2500000000000001E-2</v>
      </c>
    </row>
    <row r="25" spans="1:9">
      <c r="A25" s="55">
        <v>4.25</v>
      </c>
      <c r="B25" s="55">
        <v>5.4999989999999999</v>
      </c>
      <c r="C25" s="55" t="s">
        <v>34</v>
      </c>
      <c r="D25" s="56">
        <v>0.01</v>
      </c>
      <c r="F25" s="55">
        <v>1.5</v>
      </c>
      <c r="G25" s="55">
        <v>1.9999899999999999</v>
      </c>
      <c r="H25" s="55" t="s">
        <v>34</v>
      </c>
      <c r="I25" s="57">
        <v>0.01</v>
      </c>
    </row>
    <row r="26" spans="1:9">
      <c r="A26" s="55">
        <v>5.5</v>
      </c>
      <c r="B26" s="55">
        <v>6.4999989999999999</v>
      </c>
      <c r="C26" s="55" t="s">
        <v>35</v>
      </c>
      <c r="D26" s="56">
        <v>8.0000000000000002E-3</v>
      </c>
      <c r="F26" s="55">
        <v>2</v>
      </c>
      <c r="G26" s="55">
        <v>2.4999899999999999</v>
      </c>
      <c r="H26" s="55" t="s">
        <v>35</v>
      </c>
      <c r="I26" s="57">
        <v>8.0000000000000002E-3</v>
      </c>
    </row>
    <row r="27" spans="1:9">
      <c r="A27" s="55">
        <v>6.5</v>
      </c>
      <c r="B27" s="55">
        <v>8.4999990000000007</v>
      </c>
      <c r="C27" s="55" t="s">
        <v>36</v>
      </c>
      <c r="D27" s="56">
        <v>5.0000000000000001E-3</v>
      </c>
      <c r="F27" s="55">
        <v>2.5</v>
      </c>
      <c r="G27" s="55">
        <v>2.9999899999999999</v>
      </c>
      <c r="H27" s="55" t="s">
        <v>36</v>
      </c>
      <c r="I27" s="57">
        <v>5.0000000000000001E-3</v>
      </c>
    </row>
    <row r="28" spans="1:9">
      <c r="A28" s="58">
        <v>8.5</v>
      </c>
      <c r="B28" s="55">
        <v>100000</v>
      </c>
      <c r="C28" s="55" t="s">
        <v>37</v>
      </c>
      <c r="D28" s="56">
        <v>2E-3</v>
      </c>
      <c r="F28" s="55">
        <v>3</v>
      </c>
      <c r="G28" s="55">
        <v>100000</v>
      </c>
      <c r="H28" s="55" t="s">
        <v>37</v>
      </c>
      <c r="I28" s="57">
        <v>2E-3</v>
      </c>
    </row>
    <row r="30" spans="1:9">
      <c r="A30" s="14" t="s">
        <v>38</v>
      </c>
    </row>
    <row r="31" spans="1:9" ht="15.65">
      <c r="A31" s="50" t="s">
        <v>17</v>
      </c>
      <c r="B31" s="59"/>
      <c r="C31" s="55"/>
      <c r="D31" s="55"/>
    </row>
    <row r="32" spans="1:9">
      <c r="A32" s="55" t="s">
        <v>23</v>
      </c>
      <c r="B32" s="55" t="s">
        <v>20</v>
      </c>
      <c r="C32" s="55" t="s">
        <v>21</v>
      </c>
      <c r="D32" s="55" t="s">
        <v>22</v>
      </c>
    </row>
    <row r="33" spans="1:4">
      <c r="A33" s="55">
        <v>-100000</v>
      </c>
      <c r="B33" s="55">
        <v>0.49999900000000003</v>
      </c>
      <c r="C33" s="55" t="s">
        <v>24</v>
      </c>
      <c r="D33" s="57">
        <v>0.1</v>
      </c>
    </row>
    <row r="34" spans="1:4">
      <c r="A34" s="55">
        <v>0.5</v>
      </c>
      <c r="B34" s="55">
        <v>0.79999900000000002</v>
      </c>
      <c r="C34" s="55" t="s">
        <v>25</v>
      </c>
      <c r="D34" s="57">
        <v>7.4999999999999997E-2</v>
      </c>
    </row>
    <row r="35" spans="1:4">
      <c r="A35" s="55">
        <v>0.8</v>
      </c>
      <c r="B35" s="55">
        <v>1.2499990000000001</v>
      </c>
      <c r="C35" s="55" t="s">
        <v>26</v>
      </c>
      <c r="D35" s="57">
        <v>0.06</v>
      </c>
    </row>
    <row r="36" spans="1:4">
      <c r="A36" s="55">
        <v>1.25</v>
      </c>
      <c r="B36" s="55">
        <v>1.4999990000000001</v>
      </c>
      <c r="C36" s="55" t="s">
        <v>27</v>
      </c>
      <c r="D36" s="57">
        <v>0.05</v>
      </c>
    </row>
    <row r="37" spans="1:4">
      <c r="A37" s="55">
        <v>1.5</v>
      </c>
      <c r="B37" s="55">
        <v>1.9999990000000001</v>
      </c>
      <c r="C37" s="55" t="s">
        <v>28</v>
      </c>
      <c r="D37" s="57">
        <v>4.2500000000000003E-2</v>
      </c>
    </row>
    <row r="38" spans="1:4">
      <c r="A38" s="55">
        <v>2</v>
      </c>
      <c r="B38" s="55">
        <v>2.4999989999999999</v>
      </c>
      <c r="C38" s="55" t="s">
        <v>29</v>
      </c>
      <c r="D38" s="57">
        <v>3.2500000000000001E-2</v>
      </c>
    </row>
    <row r="39" spans="1:4">
      <c r="A39" s="55">
        <v>2.5</v>
      </c>
      <c r="B39" s="55">
        <v>2.9999989999999999</v>
      </c>
      <c r="C39" s="55" t="s">
        <v>30</v>
      </c>
      <c r="D39" s="57">
        <v>2.5000000000000001E-2</v>
      </c>
    </row>
    <row r="40" spans="1:4">
      <c r="A40" s="55">
        <v>3</v>
      </c>
      <c r="B40" s="55">
        <v>3.4999989999999999</v>
      </c>
      <c r="C40" s="55" t="s">
        <v>31</v>
      </c>
      <c r="D40" s="57">
        <v>0.02</v>
      </c>
    </row>
    <row r="41" spans="1:4">
      <c r="A41" s="55">
        <v>3.5</v>
      </c>
      <c r="B41" s="55">
        <v>4.4999989999999999</v>
      </c>
      <c r="C41" s="55" t="s">
        <v>32</v>
      </c>
      <c r="D41" s="57">
        <v>1.4999999999999999E-2</v>
      </c>
    </row>
    <row r="42" spans="1:4">
      <c r="A42" s="55">
        <v>4.5</v>
      </c>
      <c r="B42" s="55">
        <v>5.9999989999999999</v>
      </c>
      <c r="C42" s="55" t="s">
        <v>33</v>
      </c>
      <c r="D42" s="57">
        <v>1.2500000000000001E-2</v>
      </c>
    </row>
    <row r="43" spans="1:4">
      <c r="A43" s="55">
        <v>6</v>
      </c>
      <c r="B43" s="55">
        <v>7.4999989999999999</v>
      </c>
      <c r="C43" s="55" t="s">
        <v>34</v>
      </c>
      <c r="D43" s="57">
        <v>0.01</v>
      </c>
    </row>
    <row r="44" spans="1:4">
      <c r="A44" s="55">
        <v>7.5</v>
      </c>
      <c r="B44" s="55">
        <v>9.4999990000000007</v>
      </c>
      <c r="C44" s="55" t="s">
        <v>35</v>
      </c>
      <c r="D44" s="57">
        <v>8.0000000000000002E-3</v>
      </c>
    </row>
    <row r="45" spans="1:4">
      <c r="A45" s="55">
        <v>9.5</v>
      </c>
      <c r="B45" s="55">
        <v>12.499999000000001</v>
      </c>
      <c r="C45" s="55" t="s">
        <v>36</v>
      </c>
      <c r="D45" s="57">
        <v>5.0000000000000001E-3</v>
      </c>
    </row>
    <row r="46" spans="1:4">
      <c r="A46" s="55">
        <v>12.5</v>
      </c>
      <c r="B46" s="55">
        <v>100000</v>
      </c>
      <c r="C46" s="55" t="s">
        <v>37</v>
      </c>
      <c r="D46" s="57">
        <v>2E-3</v>
      </c>
    </row>
  </sheetData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7BF3-876A-4682-9C58-8B2F8C66D882}">
  <sheetPr codeName="Foglio33">
    <pageSetUpPr fitToPage="1"/>
  </sheetPr>
  <dimension ref="A3:K47"/>
  <sheetViews>
    <sheetView showGridLines="0" zoomScale="96" zoomScaleNormal="96" workbookViewId="0">
      <pane ySplit="4" topLeftCell="A8" activePane="bottomLeft" state="frozen"/>
      <selection pane="bottomLeft" activeCell="L6" sqref="L6"/>
    </sheetView>
  </sheetViews>
  <sheetFormatPr defaultColWidth="101.109375" defaultRowHeight="15.05"/>
  <cols>
    <col min="1" max="1" width="49.88671875" style="15" customWidth="1"/>
    <col min="2" max="2" width="18.33203125" style="15" bestFit="1" customWidth="1"/>
    <col min="3" max="3" width="12.44140625" style="15" bestFit="1" customWidth="1"/>
    <col min="4" max="4" width="5.109375" style="15" bestFit="1" customWidth="1"/>
    <col min="5" max="5" width="20.88671875" style="15" customWidth="1"/>
    <col min="6" max="6" width="44.5546875" style="15" bestFit="1" customWidth="1"/>
    <col min="7" max="7" width="19.109375" style="15" bestFit="1" customWidth="1"/>
    <col min="8" max="8" width="8" style="15" bestFit="1" customWidth="1"/>
    <col min="9" max="9" width="8.33203125" style="15" bestFit="1" customWidth="1"/>
    <col min="10" max="10" width="22.88671875" style="15" bestFit="1" customWidth="1"/>
    <col min="11" max="11" width="9.6640625" style="15" bestFit="1" customWidth="1"/>
    <col min="12" max="16384" width="101.109375" style="15"/>
  </cols>
  <sheetData>
    <row r="3" spans="1:11" ht="15.65" thickBot="1">
      <c r="A3" s="14" t="s">
        <v>79</v>
      </c>
    </row>
    <row r="4" spans="1:11" ht="31.95" thickBot="1">
      <c r="E4" s="37" t="s">
        <v>80</v>
      </c>
      <c r="F4" s="38" t="s">
        <v>82</v>
      </c>
      <c r="G4" s="38" t="s">
        <v>39</v>
      </c>
      <c r="H4" s="38" t="s">
        <v>81</v>
      </c>
      <c r="I4" s="38" t="s">
        <v>40</v>
      </c>
      <c r="J4" s="36" t="s">
        <v>41</v>
      </c>
      <c r="K4" s="36" t="s">
        <v>42</v>
      </c>
    </row>
    <row r="5" spans="1:11" ht="57.95" customHeight="1" thickBot="1">
      <c r="C5" s="16"/>
      <c r="D5" s="17"/>
      <c r="E5" s="18" t="s">
        <v>43</v>
      </c>
      <c r="F5" s="60" t="s">
        <v>83</v>
      </c>
      <c r="G5" s="39">
        <v>0.38</v>
      </c>
      <c r="H5" s="63">
        <f>1.2/100</f>
        <v>1.2E-2</v>
      </c>
      <c r="I5" s="66">
        <f>((2.68-H10)/100)</f>
        <v>2.6442402028413869E-2</v>
      </c>
      <c r="J5" s="15" t="s">
        <v>44</v>
      </c>
      <c r="K5" s="19">
        <v>1.1000000000000001E-3</v>
      </c>
    </row>
    <row r="6" spans="1:11" ht="47.6" thickBot="1">
      <c r="C6" s="16"/>
      <c r="D6" s="16"/>
      <c r="E6" s="18" t="s">
        <v>45</v>
      </c>
      <c r="F6" s="61" t="s">
        <v>84</v>
      </c>
      <c r="G6" s="39">
        <v>0.33</v>
      </c>
      <c r="H6" s="63">
        <f>1.4/100</f>
        <v>1.3999999999999999E-2</v>
      </c>
      <c r="I6" s="67"/>
      <c r="J6" s="15" t="s">
        <v>32</v>
      </c>
      <c r="K6" s="19">
        <v>2.0999999999999999E-3</v>
      </c>
    </row>
    <row r="7" spans="1:11" ht="16.3" thickBot="1">
      <c r="D7" s="17"/>
      <c r="E7" s="18" t="s">
        <v>46</v>
      </c>
      <c r="F7" s="62" t="s">
        <v>85</v>
      </c>
      <c r="G7" s="39">
        <v>0.27</v>
      </c>
      <c r="H7" s="63">
        <f>3.3/100</f>
        <v>3.3000000000000002E-2</v>
      </c>
      <c r="I7" s="67"/>
      <c r="J7" s="15" t="s">
        <v>47</v>
      </c>
      <c r="K7" s="19">
        <v>3.5999999999999999E-3</v>
      </c>
    </row>
    <row r="8" spans="1:11" ht="63.25" thickBot="1">
      <c r="C8" s="16"/>
      <c r="D8" s="16"/>
      <c r="E8" s="18" t="s">
        <v>48</v>
      </c>
      <c r="F8" s="61" t="s">
        <v>86</v>
      </c>
      <c r="G8" s="39">
        <v>1.078299526435573</v>
      </c>
      <c r="H8" s="63">
        <f>0.6/100</f>
        <v>6.0000000000000001E-3</v>
      </c>
      <c r="I8" s="67"/>
      <c r="J8" s="15" t="s">
        <v>49</v>
      </c>
      <c r="K8" s="19">
        <v>7.1999999999999998E-3</v>
      </c>
    </row>
    <row r="9" spans="1:11" ht="31.95" thickBot="1">
      <c r="D9" s="17"/>
      <c r="E9" s="18" t="s">
        <v>50</v>
      </c>
      <c r="F9" s="62" t="s">
        <v>87</v>
      </c>
      <c r="G9" s="39">
        <v>1.1200000000000001</v>
      </c>
      <c r="H9" s="63">
        <f>1/100</f>
        <v>0.01</v>
      </c>
      <c r="I9" s="67"/>
      <c r="J9" s="15" t="s">
        <v>31</v>
      </c>
      <c r="K9" s="19">
        <v>1.2200000000000001E-2</v>
      </c>
    </row>
    <row r="10" spans="1:11" ht="16.3" thickBot="1">
      <c r="E10" s="69" t="s">
        <v>77</v>
      </c>
      <c r="F10" s="70"/>
      <c r="G10" s="71"/>
      <c r="H10" s="20">
        <f>(H5*G5)+(H6*G6)+(H7*G7)+(H8*G8)+(H9*G9)</f>
        <v>3.5759797158613438E-2</v>
      </c>
      <c r="I10" s="68"/>
      <c r="J10" s="15" t="s">
        <v>51</v>
      </c>
      <c r="K10" s="19">
        <v>1.9400000000000001E-2</v>
      </c>
    </row>
    <row r="11" spans="1:11" ht="15.65" thickBot="1">
      <c r="I11" s="21" t="str">
        <f>IF(I5&lt;=0.11%,J5,IF(AND(I5&gt;0.11%,I5&lt;0.21%),J5,IF(AND(I5&gt;=0.21%,I5&lt;0.36%),J6,IF(AND(I5&gt;=0.36%,I5&lt;0.72%),J7,IF(AND(I5&gt;=0.72%,I5&lt;1.22%),J8,IF(AND(I5&gt;=1.22%,I5&lt;1.94%),J9,IF(AND(I5&gt;=1.94%,I5&lt;2.84%),J10)))))))</f>
        <v>BB-</v>
      </c>
      <c r="J11" s="15" t="s">
        <v>30</v>
      </c>
      <c r="K11" s="19">
        <v>2.8400000000000002E-2</v>
      </c>
    </row>
    <row r="12" spans="1:11" ht="15.65" thickBot="1">
      <c r="I12" s="22"/>
      <c r="J12" s="15" t="s">
        <v>29</v>
      </c>
      <c r="K12" s="19">
        <v>4.7600000000000003E-2</v>
      </c>
    </row>
    <row r="13" spans="1:11" ht="15.65" thickBot="1">
      <c r="E13" s="40">
        <v>1256000</v>
      </c>
      <c r="F13" s="13"/>
      <c r="G13" s="13"/>
      <c r="H13" s="19"/>
      <c r="J13" s="15" t="s">
        <v>28</v>
      </c>
      <c r="K13" s="19">
        <v>8.8400000000000006E-2</v>
      </c>
    </row>
    <row r="14" spans="1:11">
      <c r="J14" s="15" t="s">
        <v>27</v>
      </c>
      <c r="K14" s="19">
        <v>0.1525</v>
      </c>
    </row>
    <row r="16" spans="1:11" ht="15.65">
      <c r="J16" s="17" t="s">
        <v>52</v>
      </c>
    </row>
    <row r="17" spans="1:2" ht="15.65" thickBot="1">
      <c r="A17" s="13" t="s">
        <v>53</v>
      </c>
    </row>
    <row r="18" spans="1:2" ht="15.65" thickBot="1">
      <c r="A18" s="15" t="s">
        <v>54</v>
      </c>
      <c r="B18" s="40">
        <v>100</v>
      </c>
    </row>
    <row r="19" spans="1:2" ht="15.65" thickBot="1">
      <c r="A19" s="15" t="s">
        <v>55</v>
      </c>
      <c r="B19" s="40">
        <v>100</v>
      </c>
    </row>
    <row r="20" spans="1:2">
      <c r="A20" s="15" t="s">
        <v>42</v>
      </c>
      <c r="B20" s="24">
        <f>I5</f>
        <v>2.6442402028413869E-2</v>
      </c>
    </row>
    <row r="21" spans="1:2">
      <c r="A21" s="15" t="s">
        <v>56</v>
      </c>
      <c r="B21" s="25">
        <v>0.45</v>
      </c>
    </row>
    <row r="22" spans="1:2">
      <c r="A22" s="15" t="s">
        <v>57</v>
      </c>
      <c r="B22" s="26">
        <v>2.5</v>
      </c>
    </row>
    <row r="23" spans="1:2">
      <c r="B23" s="26"/>
    </row>
    <row r="24" spans="1:2">
      <c r="A24" s="13" t="s">
        <v>58</v>
      </c>
      <c r="B24" s="26"/>
    </row>
    <row r="25" spans="1:2">
      <c r="B25" s="26"/>
    </row>
    <row r="26" spans="1:2">
      <c r="A26" s="15" t="s">
        <v>59</v>
      </c>
      <c r="B26" s="27">
        <f>0.12*(1-EXP(-50*I5))/(1-EXP(-50))+0.24*(1-(1-EXP(-50*I5))/(1-EXP(-50))-0.04*(1-((E13/1000000)/45)))</f>
        <v>0.14265629242336328</v>
      </c>
    </row>
    <row r="27" spans="1:2">
      <c r="A27" s="28" t="s">
        <v>60</v>
      </c>
      <c r="B27" s="26">
        <f>(0.08451-0.05898*LN(I5))^2</f>
        <v>8.9264554440778091E-2</v>
      </c>
    </row>
    <row r="28" spans="1:2">
      <c r="A28" s="15" t="s">
        <v>61</v>
      </c>
      <c r="B28" s="29">
        <f>B21*NORMSDIST((1-B26)^(-0.5)*NORMSINV(I5)+(B26/(1-B26))^0.5*NORMSINV(0.999))*(1-1.5*B27)^(-1)*(1+(B22-2.5)*B27)</f>
        <v>0.10558653548058344</v>
      </c>
    </row>
    <row r="29" spans="1:2">
      <c r="B29" s="26"/>
    </row>
    <row r="30" spans="1:2">
      <c r="A30" s="15" t="s">
        <v>62</v>
      </c>
      <c r="B30" s="30">
        <f>B28*12.5</f>
        <v>1.3198316935072931</v>
      </c>
    </row>
    <row r="31" spans="1:2">
      <c r="B31" s="26"/>
    </row>
    <row r="32" spans="1:2">
      <c r="A32" s="15" t="s">
        <v>63</v>
      </c>
      <c r="B32" s="23">
        <f>B30*B19</f>
        <v>131.98316935072933</v>
      </c>
    </row>
    <row r="33" spans="1:4">
      <c r="B33" s="26"/>
    </row>
    <row r="34" spans="1:4" ht="15.65">
      <c r="A34" s="31" t="s">
        <v>64</v>
      </c>
      <c r="B34" s="32">
        <f>B32*0.08</f>
        <v>10.558653548058347</v>
      </c>
    </row>
    <row r="36" spans="1:4">
      <c r="A36" s="13" t="s">
        <v>58</v>
      </c>
      <c r="B36" s="33" t="s">
        <v>65</v>
      </c>
      <c r="C36" s="33" t="s">
        <v>66</v>
      </c>
    </row>
    <row r="37" spans="1:4">
      <c r="B37" s="26"/>
      <c r="C37" s="26"/>
    </row>
    <row r="38" spans="1:4">
      <c r="A38" s="15" t="s">
        <v>67</v>
      </c>
      <c r="B38" s="23">
        <f>B18</f>
        <v>100</v>
      </c>
      <c r="C38" s="23">
        <f>B18</f>
        <v>100</v>
      </c>
    </row>
    <row r="39" spans="1:4">
      <c r="A39" s="15" t="s">
        <v>68</v>
      </c>
      <c r="B39" s="23">
        <f>B38*100%</f>
        <v>100</v>
      </c>
      <c r="C39" s="23">
        <f>C38*B30</f>
        <v>131.98316935072933</v>
      </c>
    </row>
    <row r="40" spans="1:4">
      <c r="A40" s="15" t="s">
        <v>69</v>
      </c>
      <c r="B40" s="23">
        <f>B39*8%</f>
        <v>8</v>
      </c>
      <c r="C40" s="23">
        <f>C39*8%</f>
        <v>10.558653548058347</v>
      </c>
    </row>
    <row r="41" spans="1:4">
      <c r="A41" s="15" t="s">
        <v>70</v>
      </c>
      <c r="B41" s="23">
        <f>B40*8%</f>
        <v>0.64</v>
      </c>
      <c r="C41" s="23">
        <f>C40*8%</f>
        <v>0.84469228384466777</v>
      </c>
    </row>
    <row r="42" spans="1:4">
      <c r="A42" s="15" t="s">
        <v>71</v>
      </c>
      <c r="B42" s="23">
        <f>B38-B40</f>
        <v>92</v>
      </c>
      <c r="C42" s="23">
        <f>C38-C40</f>
        <v>89.441346451941655</v>
      </c>
    </row>
    <row r="43" spans="1:4">
      <c r="A43" s="15" t="s">
        <v>72</v>
      </c>
      <c r="B43" s="23">
        <f>B42*3.25%</f>
        <v>2.99</v>
      </c>
      <c r="C43" s="23">
        <f>C42*3.25%</f>
        <v>2.9068437596881038</v>
      </c>
    </row>
    <row r="44" spans="1:4">
      <c r="A44" s="15" t="s">
        <v>73</v>
      </c>
      <c r="B44" s="23">
        <f>B43+B41</f>
        <v>3.6300000000000003</v>
      </c>
      <c r="C44" s="23">
        <f>C43+C41</f>
        <v>3.7515360435327718</v>
      </c>
    </row>
    <row r="45" spans="1:4">
      <c r="A45" s="15" t="s">
        <v>74</v>
      </c>
      <c r="B45" s="24">
        <f>B44/B38</f>
        <v>3.6300000000000006E-2</v>
      </c>
      <c r="C45" s="24">
        <f>C44/C38</f>
        <v>3.7515360435327716E-2</v>
      </c>
    </row>
    <row r="46" spans="1:4">
      <c r="A46" s="15" t="s">
        <v>75</v>
      </c>
      <c r="B46" s="24">
        <f>B45-3.25%</f>
        <v>3.8000000000000048E-3</v>
      </c>
      <c r="C46" s="24">
        <f>C45-3.25%</f>
        <v>5.0153604353277148E-3</v>
      </c>
      <c r="D46" s="34">
        <f>(C46-B46)/0.01</f>
        <v>0.121536043532771</v>
      </c>
    </row>
    <row r="47" spans="1:4">
      <c r="A47" s="15" t="s">
        <v>76</v>
      </c>
      <c r="B47" s="35">
        <f>B46/0.01</f>
        <v>0.38000000000000045</v>
      </c>
      <c r="C47" s="35">
        <f>C46/0.01</f>
        <v>0.50153604353277148</v>
      </c>
    </row>
  </sheetData>
  <mergeCells count="2">
    <mergeCell ref="I5:I10"/>
    <mergeCell ref="E10:G10"/>
  </mergeCells>
  <pageMargins left="0.5" right="0.5" top="0.37" bottom="0.5" header="0.37" footer="0.5"/>
  <pageSetup paperSize="9" scale="57" orientation="landscape" horizontalDpi="4294967292" verticalDpi="4294967292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80874-6467-4C6F-83C3-C6C7DDD7F536}">
  <sheetPr>
    <pageSetUpPr fitToPage="1"/>
  </sheetPr>
  <dimension ref="A3:H13"/>
  <sheetViews>
    <sheetView showGridLines="0" zoomScale="96" zoomScaleNormal="96" workbookViewId="0">
      <pane ySplit="4" topLeftCell="A5" activePane="bottomLeft" state="frozen"/>
      <selection pane="bottomLeft" activeCell="F19" sqref="F19"/>
    </sheetView>
  </sheetViews>
  <sheetFormatPr defaultColWidth="101.109375" defaultRowHeight="15.05"/>
  <cols>
    <col min="1" max="2" width="49.88671875" style="15" customWidth="1"/>
    <col min="3" max="3" width="12.44140625" style="15" bestFit="1" customWidth="1"/>
    <col min="4" max="4" width="5.109375" style="15" bestFit="1" customWidth="1"/>
    <col min="5" max="5" width="20.88671875" style="15" customWidth="1"/>
    <col min="6" max="6" width="44.5546875" style="15" bestFit="1" customWidth="1"/>
    <col min="7" max="7" width="19.109375" style="15" bestFit="1" customWidth="1"/>
    <col min="8" max="8" width="8" style="15" bestFit="1" customWidth="1"/>
    <col min="9" max="16384" width="101.109375" style="15"/>
  </cols>
  <sheetData>
    <row r="3" spans="1:8" ht="15.65" thickBot="1">
      <c r="A3" s="14" t="s">
        <v>79</v>
      </c>
      <c r="B3" s="14"/>
    </row>
    <row r="4" spans="1:8" ht="31.95" thickBot="1">
      <c r="E4" s="37" t="s">
        <v>80</v>
      </c>
      <c r="F4" s="38" t="s">
        <v>82</v>
      </c>
      <c r="G4" s="38" t="s">
        <v>39</v>
      </c>
      <c r="H4" s="38" t="s">
        <v>81</v>
      </c>
    </row>
    <row r="5" spans="1:8" ht="57.95" customHeight="1" thickBot="1">
      <c r="C5" s="16"/>
      <c r="D5" s="17"/>
      <c r="E5" s="18" t="s">
        <v>43</v>
      </c>
      <c r="F5" s="60" t="s">
        <v>83</v>
      </c>
      <c r="G5" s="39">
        <v>0.38</v>
      </c>
      <c r="H5" s="64">
        <f>1.2</f>
        <v>1.2</v>
      </c>
    </row>
    <row r="6" spans="1:8" ht="47.6" thickBot="1">
      <c r="C6" s="16"/>
      <c r="D6" s="16"/>
      <c r="E6" s="18" t="s">
        <v>45</v>
      </c>
      <c r="F6" s="61" t="s">
        <v>84</v>
      </c>
      <c r="G6" s="39">
        <v>0.33</v>
      </c>
      <c r="H6" s="64">
        <f>1.4</f>
        <v>1.4</v>
      </c>
    </row>
    <row r="7" spans="1:8" ht="16.3" thickBot="1">
      <c r="D7" s="17"/>
      <c r="E7" s="18" t="s">
        <v>46</v>
      </c>
      <c r="F7" s="62" t="s">
        <v>85</v>
      </c>
      <c r="G7" s="39">
        <v>0.27</v>
      </c>
      <c r="H7" s="64">
        <f>3.3</f>
        <v>3.3</v>
      </c>
    </row>
    <row r="8" spans="1:8" ht="63.25" thickBot="1">
      <c r="C8" s="16"/>
      <c r="D8" s="16"/>
      <c r="E8" s="18" t="s">
        <v>48</v>
      </c>
      <c r="F8" s="61" t="s">
        <v>86</v>
      </c>
      <c r="G8" s="39">
        <v>1.078299526435573</v>
      </c>
      <c r="H8" s="64">
        <f>0.6</f>
        <v>0.6</v>
      </c>
    </row>
    <row r="9" spans="1:8" ht="31.95" thickBot="1">
      <c r="D9" s="17"/>
      <c r="E9" s="18" t="s">
        <v>50</v>
      </c>
      <c r="F9" s="62" t="s">
        <v>87</v>
      </c>
      <c r="G9" s="39">
        <v>1.1200000000000001</v>
      </c>
      <c r="H9" s="64">
        <f>1</f>
        <v>1</v>
      </c>
    </row>
    <row r="10" spans="1:8" ht="16.3" thickBot="1">
      <c r="E10" s="69" t="s">
        <v>88</v>
      </c>
      <c r="F10" s="70"/>
      <c r="G10" s="71"/>
      <c r="H10" s="20">
        <f>(H5*G5)+(H6*G6)+(H7*G7)+(H8*G8)+(H9*G9)</f>
        <v>3.5759797158613438</v>
      </c>
    </row>
    <row r="13" spans="1:8">
      <c r="F13" s="13"/>
      <c r="G13" s="13"/>
      <c r="H13" s="19"/>
    </row>
  </sheetData>
  <mergeCells count="1">
    <mergeCell ref="E10:G10"/>
  </mergeCells>
  <pageMargins left="0.5" right="0.5" top="0.37" bottom="0.5" header="0.37" footer="0.5"/>
  <pageSetup paperSize="9" scale="57" orientation="landscape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Copertina</vt:lpstr>
      <vt:lpstr>Rating_Damodaran</vt:lpstr>
      <vt:lpstr>Rating_Altman</vt:lpstr>
      <vt:lpstr>Rating_Altman (2)</vt:lpstr>
      <vt:lpstr>Rating_Altman!Area_stampa</vt:lpstr>
      <vt:lpstr>'Rating_Altman (2)'!Area_stampa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Andrea Quintiliani</cp:lastModifiedBy>
  <dcterms:created xsi:type="dcterms:W3CDTF">1996-11-05T10:16:36Z</dcterms:created>
  <dcterms:modified xsi:type="dcterms:W3CDTF">2025-10-31T12:17:24Z</dcterms:modified>
</cp:coreProperties>
</file>